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PD A.Décima_09_2024\Anexo 7 Red de recolección y conducciones de aguas servidas\Modelación AS_FR_09\"/>
    </mc:Choice>
  </mc:AlternateContent>
  <xr:revisionPtr revIDLastSave="0" documentId="13_ncr:1_{B6D410BC-9C4A-494D-B4E7-25289CCDE932}" xr6:coauthVersionLast="47" xr6:coauthVersionMax="47" xr10:uidLastSave="{00000000-0000-0000-0000-000000000000}"/>
  <bookViews>
    <workbookView xWindow="-108" yWindow="-108" windowWidth="23256" windowHeight="12720" tabRatio="795" activeTab="1" xr2:uid="{00000000-000D-0000-FFFF-FFFF00000000}"/>
  </bookViews>
  <sheets>
    <sheet name="Resumen" sheetId="29" r:id="rId1"/>
    <sheet name="Colec Krahmer II" sheetId="82" r:id="rId2"/>
    <sheet name="Colec Krahmer I" sheetId="49" r:id="rId3"/>
    <sheet name="Colec San Luis III" sheetId="48" r:id="rId4"/>
    <sheet name="Colec San Luis II" sheetId="67" r:id="rId5"/>
    <sheet name="Colec San Luis I" sheetId="65" r:id="rId6"/>
    <sheet name="Colec Ruben Dario" sheetId="76" r:id="rId7"/>
    <sheet name="Colec San Pablo" sheetId="47" r:id="rId8"/>
    <sheet name="Colec Circunv Sur" sheetId="46" r:id="rId9"/>
    <sheet name="Colec San Miguel" sheetId="79" r:id="rId10"/>
    <sheet name="Colec Francia II" sheetId="45" r:id="rId11"/>
    <sheet name="Colec Francia I" sheetId="44" r:id="rId12"/>
    <sheet name="Colec San Fco" sheetId="43" r:id="rId13"/>
    <sheet name="Colec CUT" sheetId="42" r:id="rId14"/>
    <sheet name="Colec Miraflores" sheetId="41" r:id="rId15"/>
    <sheet name="Colec Gral Lagos V" sheetId="73" r:id="rId16"/>
    <sheet name="Colec Gral Lagos IV" sheetId="70" r:id="rId17"/>
    <sheet name="Colec Gral Lagos III" sheetId="71" r:id="rId18"/>
    <sheet name="Colec Gral Lagos II" sheetId="69" r:id="rId19"/>
    <sheet name="Colec Gral Lagos I" sheetId="68" r:id="rId20"/>
    <sheet name="Colec Janequeo IV" sheetId="63" r:id="rId21"/>
    <sheet name="Colec Janequeo III" sheetId="64" r:id="rId22"/>
    <sheet name="Colec Janequeo II" sheetId="62" r:id="rId23"/>
    <sheet name="Colec Janequeo I" sheetId="61" r:id="rId24"/>
    <sheet name="Colec Los Pelues II" sheetId="60" r:id="rId25"/>
    <sheet name="Colec Los Pelues I" sheetId="90" r:id="rId26"/>
    <sheet name="Colec Los Avellanos" sheetId="74" r:id="rId27"/>
    <sheet name="Colec Domeyko" sheetId="59" r:id="rId28"/>
    <sheet name="Colec Escobar Phill II" sheetId="58" r:id="rId29"/>
    <sheet name="Colec Escobar Phill I" sheetId="57" r:id="rId30"/>
    <sheet name="Colec Baquedano" sheetId="50" r:id="rId31"/>
    <sheet name="Colec Sta Maria" sheetId="56" r:id="rId32"/>
    <sheet name="Colec Montt Baqued" sheetId="55" r:id="rId33"/>
    <sheet name="Colec P.A. Cerda IV" sheetId="54" r:id="rId34"/>
    <sheet name="Colec P.A. Cerda III" sheetId="53" r:id="rId35"/>
    <sheet name="Colec P.A. Cerda II" sheetId="52" r:id="rId36"/>
    <sheet name="Colec España" sheetId="40" r:id="rId37"/>
    <sheet name="Colec P.A. Cerda I" sheetId="39" r:id="rId38"/>
    <sheet name="Colec P.A. Cerda Norte" sheetId="38" r:id="rId39"/>
    <sheet name="Colec El Romance" sheetId="37" r:id="rId40"/>
    <sheet name="Colec Bombero Solis" sheetId="35" r:id="rId41"/>
    <sheet name="Colec Bueras Simpson" sheetId="34" r:id="rId42"/>
    <sheet name="Colec Simpson" sheetId="33" r:id="rId43"/>
    <sheet name="Colec Ecuador I-II" sheetId="32" r:id="rId44"/>
    <sheet name="Colec Bosque Sur" sheetId="28" r:id="rId45"/>
    <sheet name="Colec Balmaceda" sheetId="31" r:id="rId46"/>
    <sheet name="Colec Guacamayo" sheetId="27" r:id="rId47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Print_Area" localSheetId="10">'Colec Francia II'!$L$2:$T$21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6" i="31" l="1"/>
  <c r="P36" i="31"/>
  <c r="O36" i="31"/>
  <c r="G68" i="31"/>
  <c r="F53" i="31"/>
  <c r="C53" i="31"/>
  <c r="F49" i="31"/>
  <c r="C29" i="31"/>
  <c r="F25" i="31"/>
  <c r="G21" i="31"/>
  <c r="F6" i="31"/>
  <c r="C6" i="31"/>
  <c r="F2" i="31"/>
  <c r="G21" i="27"/>
  <c r="F6" i="27"/>
  <c r="C6" i="27"/>
  <c r="U21" i="28"/>
  <c r="P21" i="28"/>
  <c r="O21" i="28"/>
  <c r="G21" i="28"/>
  <c r="F6" i="28"/>
  <c r="C6" i="28"/>
  <c r="F2" i="28"/>
  <c r="N44" i="32"/>
  <c r="M44" i="32"/>
  <c r="G44" i="32"/>
  <c r="F25" i="32"/>
  <c r="F29" i="32" s="1"/>
  <c r="S21" i="32"/>
  <c r="P21" i="32"/>
  <c r="N21" i="32"/>
  <c r="M21" i="32"/>
  <c r="G21" i="32"/>
  <c r="F2" i="32"/>
  <c r="F6" i="32" s="1"/>
  <c r="R21" i="33"/>
  <c r="M21" i="33"/>
  <c r="L21" i="33"/>
  <c r="G21" i="33"/>
  <c r="F2" i="33"/>
  <c r="F6" i="33" s="1"/>
  <c r="R21" i="34"/>
  <c r="M21" i="34"/>
  <c r="L21" i="34"/>
  <c r="G21" i="34"/>
  <c r="F6" i="34"/>
  <c r="F2" i="34"/>
  <c r="C6" i="34" s="1"/>
  <c r="R21" i="35"/>
  <c r="M21" i="35"/>
  <c r="L21" i="35"/>
  <c r="G21" i="35"/>
  <c r="F2" i="35"/>
  <c r="C6" i="35" s="1"/>
  <c r="R21" i="37"/>
  <c r="G21" i="37"/>
  <c r="F2" i="37"/>
  <c r="F6" i="37" s="1"/>
  <c r="R21" i="38"/>
  <c r="M21" i="38"/>
  <c r="L21" i="38"/>
  <c r="G21" i="38"/>
  <c r="F2" i="38"/>
  <c r="F6" i="38" s="1"/>
  <c r="S21" i="39"/>
  <c r="N21" i="39"/>
  <c r="M21" i="39"/>
  <c r="G21" i="39"/>
  <c r="F2" i="39"/>
  <c r="F6" i="39" s="1"/>
  <c r="S21" i="40"/>
  <c r="P21" i="40"/>
  <c r="N21" i="40"/>
  <c r="M21" i="40"/>
  <c r="G21" i="40"/>
  <c r="F2" i="40"/>
  <c r="F6" i="40" s="1"/>
  <c r="S21" i="52"/>
  <c r="N21" i="52"/>
  <c r="M21" i="52"/>
  <c r="G21" i="52"/>
  <c r="F2" i="52"/>
  <c r="F6" i="52" s="1"/>
  <c r="S21" i="53"/>
  <c r="N21" i="53"/>
  <c r="M21" i="53"/>
  <c r="G21" i="53"/>
  <c r="F6" i="53"/>
  <c r="C6" i="53"/>
  <c r="F2" i="53"/>
  <c r="S21" i="54"/>
  <c r="N21" i="54"/>
  <c r="M21" i="54"/>
  <c r="G21" i="54"/>
  <c r="F2" i="54"/>
  <c r="C6" i="54" s="1"/>
  <c r="S44" i="55"/>
  <c r="P44" i="55"/>
  <c r="O44" i="55"/>
  <c r="G46" i="55"/>
  <c r="F27" i="55"/>
  <c r="F31" i="55" s="1"/>
  <c r="AA21" i="55"/>
  <c r="V21" i="55"/>
  <c r="U21" i="55"/>
  <c r="G21" i="55"/>
  <c r="F2" i="55"/>
  <c r="F6" i="55" s="1"/>
  <c r="G21" i="56"/>
  <c r="F2" i="56"/>
  <c r="C6" i="56" s="1"/>
  <c r="S16" i="50"/>
  <c r="P16" i="50"/>
  <c r="O16" i="50"/>
  <c r="W44" i="50"/>
  <c r="V44" i="50"/>
  <c r="G44" i="50"/>
  <c r="F25" i="50"/>
  <c r="F29" i="50" s="1"/>
  <c r="AB21" i="50"/>
  <c r="W21" i="50"/>
  <c r="V21" i="50"/>
  <c r="G21" i="50"/>
  <c r="F2" i="50"/>
  <c r="C6" i="50" s="1"/>
  <c r="S21" i="57"/>
  <c r="G21" i="57"/>
  <c r="C6" i="57"/>
  <c r="F2" i="57"/>
  <c r="F6" i="57" s="1"/>
  <c r="N21" i="58"/>
  <c r="M21" i="58"/>
  <c r="G21" i="58"/>
  <c r="F6" i="58"/>
  <c r="F2" i="58"/>
  <c r="C6" i="58" s="1"/>
  <c r="R21" i="59"/>
  <c r="M21" i="59"/>
  <c r="L21" i="59"/>
  <c r="G21" i="59"/>
  <c r="F2" i="59"/>
  <c r="F6" i="59" s="1"/>
  <c r="M21" i="74"/>
  <c r="L21" i="74"/>
  <c r="G21" i="74"/>
  <c r="F6" i="74"/>
  <c r="F2" i="74"/>
  <c r="C6" i="74" s="1"/>
  <c r="R21" i="90"/>
  <c r="O21" i="90"/>
  <c r="M21" i="90"/>
  <c r="L21" i="90"/>
  <c r="G21" i="90"/>
  <c r="F6" i="90"/>
  <c r="F2" i="90"/>
  <c r="C6" i="90" s="1"/>
  <c r="R21" i="60"/>
  <c r="M21" i="60"/>
  <c r="L21" i="60"/>
  <c r="G21" i="60"/>
  <c r="F2" i="60"/>
  <c r="F6" i="60" s="1"/>
  <c r="M21" i="61"/>
  <c r="L21" i="61"/>
  <c r="G21" i="61"/>
  <c r="F6" i="61"/>
  <c r="C6" i="61"/>
  <c r="F2" i="61"/>
  <c r="G21" i="62"/>
  <c r="F2" i="62"/>
  <c r="F6" i="62" s="1"/>
  <c r="R21" i="64"/>
  <c r="M21" i="64"/>
  <c r="L21" i="64"/>
  <c r="G21" i="64"/>
  <c r="F6" i="64"/>
  <c r="F2" i="64"/>
  <c r="C6" i="64" s="1"/>
  <c r="R21" i="63"/>
  <c r="M21" i="63"/>
  <c r="L21" i="63"/>
  <c r="G21" i="63"/>
  <c r="F2" i="63"/>
  <c r="F6" i="63" s="1"/>
  <c r="S19" i="71"/>
  <c r="P19" i="71"/>
  <c r="O19" i="71"/>
  <c r="P18" i="71"/>
  <c r="P17" i="71"/>
  <c r="P16" i="71"/>
  <c r="O16" i="71"/>
  <c r="S15" i="73"/>
  <c r="G21" i="68"/>
  <c r="F2" i="68"/>
  <c r="F6" i="68" s="1"/>
  <c r="R21" i="69"/>
  <c r="O21" i="69"/>
  <c r="M21" i="69"/>
  <c r="L21" i="69"/>
  <c r="G21" i="69"/>
  <c r="F2" i="69"/>
  <c r="F6" i="69" s="1"/>
  <c r="AB21" i="71"/>
  <c r="W21" i="71"/>
  <c r="V21" i="71"/>
  <c r="G21" i="71"/>
  <c r="F6" i="71"/>
  <c r="C6" i="71"/>
  <c r="F2" i="71"/>
  <c r="R21" i="70"/>
  <c r="M21" i="70"/>
  <c r="L21" i="70"/>
  <c r="G21" i="70"/>
  <c r="F2" i="70"/>
  <c r="F6" i="70" s="1"/>
  <c r="AB44" i="73"/>
  <c r="AB21" i="73"/>
  <c r="W21" i="73"/>
  <c r="V21" i="73"/>
  <c r="G21" i="73"/>
  <c r="C6" i="73"/>
  <c r="F2" i="73"/>
  <c r="F6" i="73" s="1"/>
  <c r="R21" i="41"/>
  <c r="M21" i="41"/>
  <c r="L21" i="41"/>
  <c r="G21" i="41"/>
  <c r="F2" i="41"/>
  <c r="F6" i="41" s="1"/>
  <c r="G21" i="42"/>
  <c r="C6" i="42"/>
  <c r="F2" i="42"/>
  <c r="F6" i="42" s="1"/>
  <c r="G21" i="43"/>
  <c r="F2" i="43"/>
  <c r="F6" i="43" s="1"/>
  <c r="S21" i="44"/>
  <c r="N21" i="44"/>
  <c r="M21" i="44"/>
  <c r="G21" i="44"/>
  <c r="F6" i="44"/>
  <c r="F2" i="44"/>
  <c r="C6" i="44" s="1"/>
  <c r="S21" i="45"/>
  <c r="N21" i="45"/>
  <c r="M21" i="45"/>
  <c r="G21" i="45"/>
  <c r="F2" i="45"/>
  <c r="F6" i="45" s="1"/>
  <c r="S21" i="79"/>
  <c r="N21" i="79"/>
  <c r="M21" i="79"/>
  <c r="G21" i="79"/>
  <c r="F6" i="79"/>
  <c r="F2" i="79"/>
  <c r="C6" i="79" s="1"/>
  <c r="N21" i="46"/>
  <c r="M21" i="46"/>
  <c r="G21" i="46"/>
  <c r="F2" i="46"/>
  <c r="F6" i="46" s="1"/>
  <c r="Q21" i="47"/>
  <c r="G21" i="47"/>
  <c r="F2" i="47"/>
  <c r="F6" i="47" s="1"/>
  <c r="Q21" i="76"/>
  <c r="L21" i="76"/>
  <c r="K21" i="76"/>
  <c r="G21" i="76"/>
  <c r="F6" i="76"/>
  <c r="F2" i="76"/>
  <c r="C6" i="76" s="1"/>
  <c r="S21" i="65"/>
  <c r="N21" i="65"/>
  <c r="M21" i="65"/>
  <c r="G21" i="65"/>
  <c r="F2" i="65"/>
  <c r="F6" i="65" s="1"/>
  <c r="W45" i="67"/>
  <c r="R45" i="67"/>
  <c r="Q45" i="67"/>
  <c r="G45" i="67"/>
  <c r="F30" i="67"/>
  <c r="C30" i="67"/>
  <c r="F26" i="67"/>
  <c r="W21" i="67"/>
  <c r="R21" i="67"/>
  <c r="Q21" i="67"/>
  <c r="G21" i="67"/>
  <c r="F2" i="67"/>
  <c r="F6" i="67" s="1"/>
  <c r="S21" i="48"/>
  <c r="N21" i="48"/>
  <c r="M21" i="48"/>
  <c r="G21" i="48"/>
  <c r="F2" i="48"/>
  <c r="F6" i="48" s="1"/>
  <c r="S42" i="49"/>
  <c r="P42" i="49"/>
  <c r="O42" i="49"/>
  <c r="P39" i="49"/>
  <c r="O39" i="49"/>
  <c r="G44" i="49"/>
  <c r="F25" i="49"/>
  <c r="F29" i="49" s="1"/>
  <c r="AA21" i="49"/>
  <c r="V21" i="49"/>
  <c r="U21" i="49"/>
  <c r="G21" i="49"/>
  <c r="F2" i="49"/>
  <c r="F6" i="49" s="1"/>
  <c r="F48" i="82"/>
  <c r="F52" i="82" s="1"/>
  <c r="P42" i="82"/>
  <c r="O42" i="82"/>
  <c r="S39" i="82"/>
  <c r="P39" i="82"/>
  <c r="O39" i="82"/>
  <c r="F25" i="82"/>
  <c r="F29" i="82" s="1"/>
  <c r="C6" i="82"/>
  <c r="AA67" i="82"/>
  <c r="V67" i="82"/>
  <c r="U67" i="82"/>
  <c r="G67" i="82"/>
  <c r="AA44" i="82"/>
  <c r="V44" i="82"/>
  <c r="U44" i="82"/>
  <c r="G44" i="82"/>
  <c r="C29" i="82"/>
  <c r="AA21" i="82"/>
  <c r="V21" i="82"/>
  <c r="U21" i="82"/>
  <c r="G21" i="82"/>
  <c r="F2" i="82"/>
  <c r="F6" i="82" s="1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B36" i="29"/>
  <c r="A36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B35" i="29"/>
  <c r="A35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B34" i="29"/>
  <c r="A34" i="29"/>
  <c r="R33" i="29"/>
  <c r="Q33" i="29"/>
  <c r="P33" i="29"/>
  <c r="O33" i="29"/>
  <c r="N33" i="29"/>
  <c r="M33" i="29"/>
  <c r="L33" i="29"/>
  <c r="K33" i="29"/>
  <c r="J33" i="29"/>
  <c r="I33" i="29"/>
  <c r="H33" i="29"/>
  <c r="G33" i="29"/>
  <c r="F33" i="29"/>
  <c r="E33" i="29"/>
  <c r="D33" i="29"/>
  <c r="C33" i="29"/>
  <c r="B33" i="29"/>
  <c r="A33" i="29"/>
  <c r="R32" i="29"/>
  <c r="Q32" i="29"/>
  <c r="P32" i="29"/>
  <c r="O32" i="29"/>
  <c r="N32" i="29"/>
  <c r="M32" i="29"/>
  <c r="L32" i="29"/>
  <c r="K32" i="29"/>
  <c r="J32" i="29"/>
  <c r="I32" i="29"/>
  <c r="H32" i="29"/>
  <c r="G32" i="29"/>
  <c r="F32" i="29"/>
  <c r="E32" i="29"/>
  <c r="D32" i="29"/>
  <c r="C32" i="29"/>
  <c r="B32" i="29"/>
  <c r="A32" i="29"/>
  <c r="R31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B31" i="29"/>
  <c r="A31" i="29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C30" i="29"/>
  <c r="B30" i="29"/>
  <c r="A30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B29" i="29"/>
  <c r="A29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B28" i="29"/>
  <c r="A28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B27" i="29"/>
  <c r="A27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B26" i="29"/>
  <c r="A26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B25" i="29"/>
  <c r="A25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B24" i="29"/>
  <c r="A24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B23" i="29"/>
  <c r="A23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D22" i="29"/>
  <c r="C22" i="29"/>
  <c r="B22" i="29"/>
  <c r="A22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B21" i="29"/>
  <c r="A21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B20" i="29"/>
  <c r="A20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B19" i="29"/>
  <c r="A19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B18" i="29"/>
  <c r="A18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B17" i="29"/>
  <c r="A17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B16" i="29"/>
  <c r="A16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B15" i="29"/>
  <c r="A15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B14" i="29"/>
  <c r="A14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B13" i="29"/>
  <c r="A13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B12" i="29"/>
  <c r="A12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B11" i="29"/>
  <c r="A11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B10" i="29"/>
  <c r="A10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B9" i="29"/>
  <c r="A9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B8" i="29"/>
  <c r="A8" i="29"/>
  <c r="R7" i="29"/>
  <c r="Q7" i="29"/>
  <c r="P7" i="29"/>
  <c r="O7" i="29"/>
  <c r="N7" i="29"/>
  <c r="M7" i="29"/>
  <c r="L7" i="29"/>
  <c r="K7" i="29"/>
  <c r="J7" i="29"/>
  <c r="I7" i="29"/>
  <c r="H7" i="29"/>
  <c r="G7" i="29"/>
  <c r="F7" i="29"/>
  <c r="E7" i="29"/>
  <c r="D7" i="29"/>
  <c r="C7" i="29"/>
  <c r="B7" i="29"/>
  <c r="A7" i="29"/>
  <c r="R6" i="29"/>
  <c r="Q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6" i="29"/>
  <c r="A6" i="29"/>
  <c r="R5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B5" i="29"/>
  <c r="A5" i="29"/>
  <c r="G67" i="31"/>
  <c r="G20" i="31"/>
  <c r="G20" i="27"/>
  <c r="U20" i="28"/>
  <c r="P20" i="28"/>
  <c r="O20" i="28"/>
  <c r="G20" i="28"/>
  <c r="N43" i="32"/>
  <c r="M43" i="32"/>
  <c r="G43" i="32"/>
  <c r="S20" i="32"/>
  <c r="P20" i="32"/>
  <c r="N20" i="32"/>
  <c r="M20" i="32"/>
  <c r="G20" i="32"/>
  <c r="R20" i="33"/>
  <c r="M20" i="33"/>
  <c r="L20" i="33"/>
  <c r="G20" i="33"/>
  <c r="R20" i="34"/>
  <c r="M20" i="34"/>
  <c r="L20" i="34"/>
  <c r="G20" i="34"/>
  <c r="R20" i="35"/>
  <c r="M20" i="35"/>
  <c r="L20" i="35"/>
  <c r="G20" i="35"/>
  <c r="R20" i="37"/>
  <c r="G20" i="37"/>
  <c r="R20" i="38"/>
  <c r="M20" i="38"/>
  <c r="L20" i="38"/>
  <c r="G20" i="38"/>
  <c r="S20" i="39"/>
  <c r="N20" i="39"/>
  <c r="M20" i="39"/>
  <c r="G20" i="39"/>
  <c r="S20" i="40"/>
  <c r="P20" i="40"/>
  <c r="N20" i="40"/>
  <c r="M20" i="40"/>
  <c r="G20" i="40"/>
  <c r="S20" i="52"/>
  <c r="N20" i="52"/>
  <c r="M20" i="52"/>
  <c r="G20" i="52"/>
  <c r="S20" i="53"/>
  <c r="N20" i="53"/>
  <c r="M20" i="53"/>
  <c r="G20" i="53"/>
  <c r="S20" i="54"/>
  <c r="N20" i="54"/>
  <c r="M20" i="54"/>
  <c r="G20" i="54"/>
  <c r="G45" i="55"/>
  <c r="AA20" i="55"/>
  <c r="V20" i="55"/>
  <c r="U20" i="55"/>
  <c r="G20" i="55"/>
  <c r="G20" i="56"/>
  <c r="W43" i="50"/>
  <c r="V43" i="50"/>
  <c r="G43" i="50"/>
  <c r="AB20" i="50"/>
  <c r="W20" i="50"/>
  <c r="V20" i="50"/>
  <c r="G20" i="50"/>
  <c r="S20" i="57"/>
  <c r="G20" i="57"/>
  <c r="N20" i="58"/>
  <c r="M20" i="58"/>
  <c r="G20" i="58"/>
  <c r="R20" i="59"/>
  <c r="M20" i="59"/>
  <c r="L20" i="59"/>
  <c r="G20" i="59"/>
  <c r="M20" i="74"/>
  <c r="L20" i="74"/>
  <c r="G20" i="74"/>
  <c r="R20" i="90"/>
  <c r="O20" i="90"/>
  <c r="M20" i="90"/>
  <c r="L20" i="90"/>
  <c r="G20" i="90"/>
  <c r="R20" i="60"/>
  <c r="M20" i="60"/>
  <c r="L20" i="60"/>
  <c r="G20" i="60"/>
  <c r="M20" i="61"/>
  <c r="L20" i="61"/>
  <c r="G20" i="61"/>
  <c r="G20" i="62"/>
  <c r="R20" i="64"/>
  <c r="M20" i="64"/>
  <c r="L20" i="64"/>
  <c r="G20" i="64"/>
  <c r="R20" i="63"/>
  <c r="M20" i="63"/>
  <c r="L20" i="63"/>
  <c r="G20" i="63"/>
  <c r="G20" i="68"/>
  <c r="R20" i="69"/>
  <c r="O20" i="69"/>
  <c r="M20" i="69"/>
  <c r="L20" i="69"/>
  <c r="G20" i="69"/>
  <c r="AB20" i="71"/>
  <c r="W20" i="71"/>
  <c r="V20" i="71"/>
  <c r="G20" i="71"/>
  <c r="R20" i="70"/>
  <c r="M20" i="70"/>
  <c r="L20" i="70"/>
  <c r="G20" i="70"/>
  <c r="AB43" i="73"/>
  <c r="AB20" i="73"/>
  <c r="W20" i="73"/>
  <c r="V20" i="73"/>
  <c r="G20" i="73"/>
  <c r="R20" i="41"/>
  <c r="M20" i="41"/>
  <c r="L20" i="41"/>
  <c r="G20" i="41"/>
  <c r="G20" i="42"/>
  <c r="G20" i="43"/>
  <c r="S20" i="44"/>
  <c r="N20" i="44"/>
  <c r="M20" i="44"/>
  <c r="G20" i="44"/>
  <c r="S20" i="45"/>
  <c r="N20" i="45"/>
  <c r="M20" i="45"/>
  <c r="G20" i="45"/>
  <c r="S20" i="79"/>
  <c r="N20" i="79"/>
  <c r="M20" i="79"/>
  <c r="G20" i="79"/>
  <c r="N20" i="46"/>
  <c r="M20" i="46"/>
  <c r="G20" i="46"/>
  <c r="Q20" i="47"/>
  <c r="G20" i="47"/>
  <c r="Q20" i="76"/>
  <c r="L20" i="76"/>
  <c r="K20" i="76"/>
  <c r="G20" i="76"/>
  <c r="S20" i="65"/>
  <c r="N20" i="65"/>
  <c r="M20" i="65"/>
  <c r="G20" i="65"/>
  <c r="W44" i="67"/>
  <c r="R44" i="67"/>
  <c r="Q44" i="67"/>
  <c r="G44" i="67"/>
  <c r="W20" i="67"/>
  <c r="R20" i="67"/>
  <c r="Q20" i="67"/>
  <c r="G20" i="67"/>
  <c r="S20" i="48"/>
  <c r="N20" i="48"/>
  <c r="M20" i="48"/>
  <c r="G20" i="48"/>
  <c r="G43" i="49"/>
  <c r="AA20" i="49"/>
  <c r="V20" i="49"/>
  <c r="U20" i="49"/>
  <c r="G20" i="49"/>
  <c r="AA66" i="82"/>
  <c r="V66" i="82"/>
  <c r="U66" i="82"/>
  <c r="G66" i="82"/>
  <c r="AA43" i="82"/>
  <c r="V43" i="82"/>
  <c r="U43" i="82"/>
  <c r="G43" i="82"/>
  <c r="AA20" i="82"/>
  <c r="V20" i="82"/>
  <c r="U20" i="82"/>
  <c r="G20" i="82"/>
  <c r="G66" i="31"/>
  <c r="G19" i="31"/>
  <c r="G19" i="27"/>
  <c r="U19" i="28"/>
  <c r="P19" i="28"/>
  <c r="O19" i="28"/>
  <c r="G19" i="28"/>
  <c r="N42" i="32"/>
  <c r="M42" i="32"/>
  <c r="G42" i="32"/>
  <c r="S19" i="32"/>
  <c r="P19" i="32"/>
  <c r="N19" i="32"/>
  <c r="M19" i="32"/>
  <c r="G19" i="32"/>
  <c r="R19" i="33"/>
  <c r="M19" i="33"/>
  <c r="L19" i="33"/>
  <c r="G19" i="33"/>
  <c r="R19" i="34"/>
  <c r="M19" i="34"/>
  <c r="L19" i="34"/>
  <c r="G19" i="34"/>
  <c r="R19" i="35"/>
  <c r="M19" i="35"/>
  <c r="L19" i="35"/>
  <c r="G19" i="35"/>
  <c r="R19" i="37"/>
  <c r="G19" i="37"/>
  <c r="R19" i="38"/>
  <c r="M19" i="38"/>
  <c r="L19" i="38"/>
  <c r="G19" i="38"/>
  <c r="S19" i="39"/>
  <c r="N19" i="39"/>
  <c r="M19" i="39"/>
  <c r="G19" i="39"/>
  <c r="S19" i="40"/>
  <c r="P19" i="40"/>
  <c r="N19" i="40"/>
  <c r="M19" i="40"/>
  <c r="G19" i="40"/>
  <c r="S19" i="52"/>
  <c r="N19" i="52"/>
  <c r="M19" i="52"/>
  <c r="G19" i="52"/>
  <c r="S19" i="53"/>
  <c r="N19" i="53"/>
  <c r="M19" i="53"/>
  <c r="G19" i="53"/>
  <c r="S19" i="54"/>
  <c r="N19" i="54"/>
  <c r="M19" i="54"/>
  <c r="G19" i="54"/>
  <c r="G44" i="55"/>
  <c r="AA19" i="55"/>
  <c r="V19" i="55"/>
  <c r="U19" i="55"/>
  <c r="G19" i="55"/>
  <c r="G19" i="56"/>
  <c r="W42" i="50"/>
  <c r="V42" i="50"/>
  <c r="G42" i="50"/>
  <c r="AB19" i="50"/>
  <c r="W19" i="50"/>
  <c r="V19" i="50"/>
  <c r="G19" i="50"/>
  <c r="S19" i="57"/>
  <c r="G19" i="57"/>
  <c r="N19" i="58"/>
  <c r="M19" i="58"/>
  <c r="G19" i="58"/>
  <c r="R19" i="59"/>
  <c r="M19" i="59"/>
  <c r="L19" i="59"/>
  <c r="G19" i="59"/>
  <c r="M19" i="74"/>
  <c r="L19" i="74"/>
  <c r="G19" i="74"/>
  <c r="R19" i="90"/>
  <c r="O19" i="90"/>
  <c r="M19" i="90"/>
  <c r="L19" i="90"/>
  <c r="G19" i="90"/>
  <c r="R19" i="60"/>
  <c r="M19" i="60"/>
  <c r="L19" i="60"/>
  <c r="G19" i="60"/>
  <c r="M19" i="61"/>
  <c r="L19" i="61"/>
  <c r="G19" i="61"/>
  <c r="G19" i="62"/>
  <c r="R19" i="64"/>
  <c r="M19" i="64"/>
  <c r="L19" i="64"/>
  <c r="G19" i="64"/>
  <c r="R19" i="63"/>
  <c r="M19" i="63"/>
  <c r="L19" i="63"/>
  <c r="G19" i="63"/>
  <c r="G19" i="68"/>
  <c r="R19" i="69"/>
  <c r="O19" i="69"/>
  <c r="M19" i="69"/>
  <c r="L19" i="69"/>
  <c r="G19" i="69"/>
  <c r="AB19" i="71"/>
  <c r="W19" i="71"/>
  <c r="V19" i="71"/>
  <c r="G19" i="71"/>
  <c r="R19" i="70"/>
  <c r="M19" i="70"/>
  <c r="L19" i="70"/>
  <c r="G19" i="70"/>
  <c r="AB42" i="73"/>
  <c r="AB19" i="73"/>
  <c r="W19" i="73"/>
  <c r="V19" i="73"/>
  <c r="G19" i="73"/>
  <c r="R19" i="41"/>
  <c r="M19" i="41"/>
  <c r="L19" i="41"/>
  <c r="G19" i="41"/>
  <c r="G19" i="42"/>
  <c r="G19" i="43"/>
  <c r="S19" i="44"/>
  <c r="N19" i="44"/>
  <c r="M19" i="44"/>
  <c r="G19" i="44"/>
  <c r="S19" i="45"/>
  <c r="N19" i="45"/>
  <c r="M19" i="45"/>
  <c r="G19" i="45"/>
  <c r="S19" i="79"/>
  <c r="N19" i="79"/>
  <c r="M19" i="79"/>
  <c r="G19" i="79"/>
  <c r="N19" i="46"/>
  <c r="M19" i="46"/>
  <c r="G19" i="46"/>
  <c r="Q19" i="47"/>
  <c r="G19" i="47"/>
  <c r="Q19" i="76"/>
  <c r="L19" i="76"/>
  <c r="K19" i="76"/>
  <c r="G19" i="76"/>
  <c r="S19" i="65"/>
  <c r="N19" i="65"/>
  <c r="M19" i="65"/>
  <c r="G19" i="65"/>
  <c r="W43" i="67"/>
  <c r="R43" i="67"/>
  <c r="Q43" i="67"/>
  <c r="G43" i="67"/>
  <c r="W19" i="67"/>
  <c r="R19" i="67"/>
  <c r="Q19" i="67"/>
  <c r="G19" i="67"/>
  <c r="S19" i="48"/>
  <c r="N19" i="48"/>
  <c r="M19" i="48"/>
  <c r="G19" i="48"/>
  <c r="G42" i="49"/>
  <c r="AA19" i="49"/>
  <c r="V19" i="49"/>
  <c r="U19" i="49"/>
  <c r="G19" i="49"/>
  <c r="AA65" i="82"/>
  <c r="V65" i="82"/>
  <c r="U65" i="82"/>
  <c r="G65" i="82"/>
  <c r="AA42" i="82"/>
  <c r="V42" i="82"/>
  <c r="U42" i="82"/>
  <c r="G42" i="82"/>
  <c r="AA19" i="82"/>
  <c r="V19" i="82"/>
  <c r="U19" i="82"/>
  <c r="G19" i="82"/>
  <c r="G65" i="31"/>
  <c r="G18" i="31"/>
  <c r="G18" i="27"/>
  <c r="U18" i="28"/>
  <c r="P18" i="28"/>
  <c r="O18" i="28"/>
  <c r="G18" i="28"/>
  <c r="N41" i="32"/>
  <c r="M41" i="32"/>
  <c r="G41" i="32"/>
  <c r="S18" i="32"/>
  <c r="P18" i="32"/>
  <c r="N18" i="32"/>
  <c r="M18" i="32"/>
  <c r="G18" i="32"/>
  <c r="R18" i="33"/>
  <c r="M18" i="33"/>
  <c r="L18" i="33"/>
  <c r="G18" i="33"/>
  <c r="R18" i="34"/>
  <c r="M18" i="34"/>
  <c r="L18" i="34"/>
  <c r="G18" i="34"/>
  <c r="R18" i="35"/>
  <c r="M18" i="35"/>
  <c r="L18" i="35"/>
  <c r="G18" i="35"/>
  <c r="R18" i="37"/>
  <c r="G18" i="37"/>
  <c r="R18" i="38"/>
  <c r="M18" i="38"/>
  <c r="L18" i="38"/>
  <c r="G18" i="38"/>
  <c r="S18" i="39"/>
  <c r="N18" i="39"/>
  <c r="M18" i="39"/>
  <c r="G18" i="39"/>
  <c r="S18" i="40"/>
  <c r="P18" i="40"/>
  <c r="N18" i="40"/>
  <c r="M18" i="40"/>
  <c r="G18" i="40"/>
  <c r="S18" i="52"/>
  <c r="N18" i="52"/>
  <c r="M18" i="52"/>
  <c r="G18" i="52"/>
  <c r="S18" i="53"/>
  <c r="N18" i="53"/>
  <c r="M18" i="53"/>
  <c r="G18" i="53"/>
  <c r="S18" i="54"/>
  <c r="N18" i="54"/>
  <c r="M18" i="54"/>
  <c r="G18" i="54"/>
  <c r="G43" i="55"/>
  <c r="AA18" i="55"/>
  <c r="V18" i="55"/>
  <c r="U18" i="55"/>
  <c r="G18" i="55"/>
  <c r="G18" i="56"/>
  <c r="W41" i="50"/>
  <c r="V41" i="50"/>
  <c r="G41" i="50"/>
  <c r="AB18" i="50"/>
  <c r="W18" i="50"/>
  <c r="V18" i="50"/>
  <c r="G18" i="50"/>
  <c r="S18" i="57"/>
  <c r="G18" i="57"/>
  <c r="N18" i="58"/>
  <c r="M18" i="58"/>
  <c r="G18" i="58"/>
  <c r="R18" i="59"/>
  <c r="M18" i="59"/>
  <c r="L18" i="59"/>
  <c r="G18" i="59"/>
  <c r="M18" i="74"/>
  <c r="L18" i="74"/>
  <c r="G18" i="74"/>
  <c r="R18" i="90"/>
  <c r="O18" i="90"/>
  <c r="M18" i="90"/>
  <c r="L18" i="90"/>
  <c r="G18" i="90"/>
  <c r="R18" i="60"/>
  <c r="M18" i="60"/>
  <c r="L18" i="60"/>
  <c r="G18" i="60"/>
  <c r="M18" i="61"/>
  <c r="L18" i="61"/>
  <c r="G18" i="61"/>
  <c r="G18" i="62"/>
  <c r="R18" i="64"/>
  <c r="M18" i="64"/>
  <c r="L18" i="64"/>
  <c r="G18" i="64"/>
  <c r="R18" i="63"/>
  <c r="M18" i="63"/>
  <c r="L18" i="63"/>
  <c r="G18" i="63"/>
  <c r="G18" i="68"/>
  <c r="R18" i="69"/>
  <c r="O18" i="69"/>
  <c r="M18" i="69"/>
  <c r="L18" i="69"/>
  <c r="G18" i="69"/>
  <c r="AB18" i="71"/>
  <c r="W18" i="71"/>
  <c r="V18" i="71"/>
  <c r="G18" i="71"/>
  <c r="R18" i="70"/>
  <c r="M18" i="70"/>
  <c r="L18" i="70"/>
  <c r="G18" i="70"/>
  <c r="AB41" i="73"/>
  <c r="AB18" i="73"/>
  <c r="W18" i="73"/>
  <c r="V18" i="73"/>
  <c r="G18" i="73"/>
  <c r="R18" i="41"/>
  <c r="M18" i="41"/>
  <c r="L18" i="41"/>
  <c r="G18" i="41"/>
  <c r="G18" i="42"/>
  <c r="G18" i="43"/>
  <c r="S18" i="44"/>
  <c r="N18" i="44"/>
  <c r="M18" i="44"/>
  <c r="G18" i="44"/>
  <c r="S18" i="45"/>
  <c r="N18" i="45"/>
  <c r="M18" i="45"/>
  <c r="G18" i="45"/>
  <c r="S18" i="79"/>
  <c r="N18" i="79"/>
  <c r="M18" i="79"/>
  <c r="G18" i="79"/>
  <c r="N18" i="46"/>
  <c r="M18" i="46"/>
  <c r="G18" i="46"/>
  <c r="Q18" i="47"/>
  <c r="G18" i="47"/>
  <c r="Q18" i="76"/>
  <c r="L18" i="76"/>
  <c r="K18" i="76"/>
  <c r="G18" i="76"/>
  <c r="S18" i="65"/>
  <c r="N18" i="65"/>
  <c r="M18" i="65"/>
  <c r="G18" i="65"/>
  <c r="W42" i="67"/>
  <c r="R42" i="67"/>
  <c r="Q42" i="67"/>
  <c r="G42" i="67"/>
  <c r="W18" i="67"/>
  <c r="R18" i="67"/>
  <c r="Q18" i="67"/>
  <c r="G18" i="67"/>
  <c r="S18" i="48"/>
  <c r="N18" i="48"/>
  <c r="M18" i="48"/>
  <c r="G18" i="48"/>
  <c r="G41" i="49"/>
  <c r="AA18" i="49"/>
  <c r="V18" i="49"/>
  <c r="U18" i="49"/>
  <c r="G18" i="49"/>
  <c r="AA64" i="82"/>
  <c r="V64" i="82"/>
  <c r="U64" i="82"/>
  <c r="G64" i="82"/>
  <c r="AA41" i="82"/>
  <c r="V41" i="82"/>
  <c r="U41" i="82"/>
  <c r="G41" i="82"/>
  <c r="AA18" i="82"/>
  <c r="V18" i="82"/>
  <c r="U18" i="82"/>
  <c r="G18" i="82"/>
  <c r="G64" i="31"/>
  <c r="G17" i="31"/>
  <c r="G17" i="27"/>
  <c r="U17" i="28"/>
  <c r="P17" i="28"/>
  <c r="O17" i="28"/>
  <c r="G17" i="28"/>
  <c r="N40" i="32"/>
  <c r="M40" i="32"/>
  <c r="G40" i="32"/>
  <c r="S17" i="32"/>
  <c r="P17" i="32"/>
  <c r="N17" i="32"/>
  <c r="M17" i="32"/>
  <c r="G17" i="32"/>
  <c r="R17" i="33"/>
  <c r="M17" i="33"/>
  <c r="L17" i="33"/>
  <c r="G17" i="33"/>
  <c r="R17" i="34"/>
  <c r="M17" i="34"/>
  <c r="L17" i="34"/>
  <c r="G17" i="34"/>
  <c r="R17" i="35"/>
  <c r="M17" i="35"/>
  <c r="L17" i="35"/>
  <c r="G17" i="35"/>
  <c r="R17" i="37"/>
  <c r="G17" i="37"/>
  <c r="R17" i="38"/>
  <c r="M17" i="38"/>
  <c r="L17" i="38"/>
  <c r="G17" i="38"/>
  <c r="S17" i="39"/>
  <c r="N17" i="39"/>
  <c r="M17" i="39"/>
  <c r="G17" i="39"/>
  <c r="S17" i="40"/>
  <c r="P17" i="40"/>
  <c r="N17" i="40"/>
  <c r="M17" i="40"/>
  <c r="G17" i="40"/>
  <c r="S17" i="52"/>
  <c r="N17" i="52"/>
  <c r="M17" i="52"/>
  <c r="G17" i="52"/>
  <c r="S17" i="53"/>
  <c r="N17" i="53"/>
  <c r="M17" i="53"/>
  <c r="G17" i="53"/>
  <c r="S17" i="54"/>
  <c r="N17" i="54"/>
  <c r="M17" i="54"/>
  <c r="G17" i="54"/>
  <c r="G42" i="55"/>
  <c r="AA17" i="55"/>
  <c r="V17" i="55"/>
  <c r="U17" i="55"/>
  <c r="G17" i="55"/>
  <c r="G17" i="56"/>
  <c r="W40" i="50"/>
  <c r="V40" i="50"/>
  <c r="G40" i="50"/>
  <c r="AB17" i="50"/>
  <c r="W17" i="50"/>
  <c r="V17" i="50"/>
  <c r="G17" i="50"/>
  <c r="S17" i="57"/>
  <c r="G17" i="57"/>
  <c r="N17" i="58"/>
  <c r="M17" i="58"/>
  <c r="G17" i="58"/>
  <c r="R17" i="59"/>
  <c r="M17" i="59"/>
  <c r="L17" i="59"/>
  <c r="G17" i="59"/>
  <c r="M17" i="74"/>
  <c r="L17" i="74"/>
  <c r="G17" i="74"/>
  <c r="R17" i="90"/>
  <c r="O17" i="90"/>
  <c r="M17" i="90"/>
  <c r="L17" i="90"/>
  <c r="G17" i="90"/>
  <c r="R17" i="60"/>
  <c r="M17" i="60"/>
  <c r="L17" i="60"/>
  <c r="G17" i="60"/>
  <c r="M17" i="61"/>
  <c r="L17" i="61"/>
  <c r="G17" i="61"/>
  <c r="G17" i="62"/>
  <c r="R17" i="64"/>
  <c r="M17" i="64"/>
  <c r="L17" i="64"/>
  <c r="G17" i="64"/>
  <c r="R17" i="63"/>
  <c r="M17" i="63"/>
  <c r="L17" i="63"/>
  <c r="G17" i="63"/>
  <c r="G17" i="68"/>
  <c r="R17" i="69"/>
  <c r="O17" i="69"/>
  <c r="M17" i="69"/>
  <c r="L17" i="69"/>
  <c r="G17" i="69"/>
  <c r="AB17" i="71"/>
  <c r="W17" i="71"/>
  <c r="V17" i="71"/>
  <c r="G17" i="71"/>
  <c r="R17" i="70"/>
  <c r="M17" i="70"/>
  <c r="L17" i="70"/>
  <c r="G17" i="70"/>
  <c r="AB40" i="73"/>
  <c r="AB17" i="73"/>
  <c r="W17" i="73"/>
  <c r="W40" i="73" s="1"/>
  <c r="Z40" i="73" s="1"/>
  <c r="V17" i="73"/>
  <c r="G17" i="73"/>
  <c r="R17" i="41"/>
  <c r="M17" i="41"/>
  <c r="L17" i="41"/>
  <c r="G17" i="41"/>
  <c r="G17" i="42"/>
  <c r="G17" i="43"/>
  <c r="S17" i="44"/>
  <c r="N17" i="44"/>
  <c r="M17" i="44"/>
  <c r="G17" i="44"/>
  <c r="S17" i="45"/>
  <c r="N17" i="45"/>
  <c r="M17" i="45"/>
  <c r="G17" i="45"/>
  <c r="S17" i="79"/>
  <c r="N17" i="79"/>
  <c r="M17" i="79"/>
  <c r="G17" i="79"/>
  <c r="N17" i="46"/>
  <c r="M17" i="46"/>
  <c r="G17" i="46"/>
  <c r="Q17" i="47"/>
  <c r="G17" i="47"/>
  <c r="Q17" i="76"/>
  <c r="L17" i="76"/>
  <c r="K17" i="76"/>
  <c r="G17" i="76"/>
  <c r="S17" i="65"/>
  <c r="N17" i="65"/>
  <c r="M17" i="65"/>
  <c r="G17" i="65"/>
  <c r="W41" i="67"/>
  <c r="R41" i="67"/>
  <c r="Q41" i="67"/>
  <c r="G41" i="67"/>
  <c r="W17" i="67"/>
  <c r="R17" i="67"/>
  <c r="Q17" i="67"/>
  <c r="G17" i="67"/>
  <c r="S17" i="48"/>
  <c r="N17" i="48"/>
  <c r="M17" i="48"/>
  <c r="G17" i="48"/>
  <c r="G40" i="49"/>
  <c r="AA17" i="49"/>
  <c r="V17" i="49"/>
  <c r="U17" i="49"/>
  <c r="G17" i="49"/>
  <c r="AA63" i="82"/>
  <c r="V63" i="82"/>
  <c r="U63" i="82"/>
  <c r="G63" i="82"/>
  <c r="AA40" i="82"/>
  <c r="V40" i="82"/>
  <c r="U40" i="82"/>
  <c r="G40" i="82"/>
  <c r="AA17" i="82"/>
  <c r="V17" i="82"/>
  <c r="U17" i="82"/>
  <c r="G17" i="82"/>
  <c r="G63" i="31"/>
  <c r="G16" i="31"/>
  <c r="G16" i="27"/>
  <c r="U16" i="28"/>
  <c r="P16" i="28"/>
  <c r="O16" i="28"/>
  <c r="G16" i="28"/>
  <c r="N39" i="32"/>
  <c r="M39" i="32"/>
  <c r="G39" i="32"/>
  <c r="S16" i="32"/>
  <c r="P16" i="32"/>
  <c r="N16" i="32"/>
  <c r="M16" i="32"/>
  <c r="G16" i="32"/>
  <c r="R16" i="33"/>
  <c r="M16" i="33"/>
  <c r="L16" i="33"/>
  <c r="G16" i="33"/>
  <c r="R16" i="34"/>
  <c r="M16" i="34"/>
  <c r="L16" i="34"/>
  <c r="G16" i="34"/>
  <c r="R16" i="35"/>
  <c r="M16" i="35"/>
  <c r="L16" i="35"/>
  <c r="G16" i="35"/>
  <c r="R16" i="37"/>
  <c r="G16" i="37"/>
  <c r="R16" i="38"/>
  <c r="M16" i="38"/>
  <c r="L16" i="38"/>
  <c r="G16" i="38"/>
  <c r="S16" i="39"/>
  <c r="N16" i="39"/>
  <c r="M16" i="39"/>
  <c r="G16" i="39"/>
  <c r="S16" i="40"/>
  <c r="P16" i="40"/>
  <c r="N16" i="40"/>
  <c r="M16" i="40"/>
  <c r="G16" i="40"/>
  <c r="S16" i="52"/>
  <c r="N16" i="52"/>
  <c r="M16" i="52"/>
  <c r="G16" i="52"/>
  <c r="S16" i="53"/>
  <c r="N16" i="53"/>
  <c r="M16" i="53"/>
  <c r="G16" i="53"/>
  <c r="S16" i="54"/>
  <c r="N16" i="54"/>
  <c r="M16" i="54"/>
  <c r="G16" i="54"/>
  <c r="G41" i="55"/>
  <c r="AA16" i="55"/>
  <c r="V16" i="55"/>
  <c r="U16" i="55"/>
  <c r="G16" i="55"/>
  <c r="G16" i="56"/>
  <c r="W39" i="50"/>
  <c r="V39" i="50"/>
  <c r="G39" i="50"/>
  <c r="AB16" i="50"/>
  <c r="W16" i="50"/>
  <c r="V16" i="50"/>
  <c r="G16" i="50"/>
  <c r="S16" i="57"/>
  <c r="G16" i="57"/>
  <c r="N16" i="58"/>
  <c r="M16" i="58"/>
  <c r="G16" i="58"/>
  <c r="R16" i="59"/>
  <c r="M16" i="59"/>
  <c r="L16" i="59"/>
  <c r="G16" i="59"/>
  <c r="M16" i="74"/>
  <c r="L16" i="74"/>
  <c r="G16" i="74"/>
  <c r="R16" i="90"/>
  <c r="O16" i="90"/>
  <c r="M16" i="90"/>
  <c r="L16" i="90"/>
  <c r="G16" i="90"/>
  <c r="R16" i="60"/>
  <c r="M16" i="60"/>
  <c r="L16" i="60"/>
  <c r="G16" i="60"/>
  <c r="M16" i="61"/>
  <c r="L16" i="61"/>
  <c r="G16" i="61"/>
  <c r="G16" i="62"/>
  <c r="R16" i="64"/>
  <c r="M16" i="64"/>
  <c r="L16" i="64"/>
  <c r="G16" i="64"/>
  <c r="R16" i="63"/>
  <c r="M16" i="63"/>
  <c r="L16" i="63"/>
  <c r="G16" i="63"/>
  <c r="G16" i="68"/>
  <c r="R16" i="69"/>
  <c r="O16" i="69"/>
  <c r="M16" i="69"/>
  <c r="L16" i="69"/>
  <c r="G16" i="69"/>
  <c r="AB16" i="71"/>
  <c r="W16" i="71"/>
  <c r="V16" i="71"/>
  <c r="G16" i="71"/>
  <c r="R16" i="70"/>
  <c r="M16" i="70"/>
  <c r="L16" i="70"/>
  <c r="G16" i="70"/>
  <c r="AB39" i="73"/>
  <c r="AB16" i="73"/>
  <c r="W16" i="73"/>
  <c r="V16" i="73"/>
  <c r="G16" i="73"/>
  <c r="R16" i="41"/>
  <c r="M16" i="41"/>
  <c r="L16" i="41"/>
  <c r="G16" i="41"/>
  <c r="G16" i="42"/>
  <c r="G16" i="43"/>
  <c r="S16" i="44"/>
  <c r="N16" i="44"/>
  <c r="M16" i="44"/>
  <c r="G16" i="44"/>
  <c r="S16" i="45"/>
  <c r="N16" i="45"/>
  <c r="M16" i="45"/>
  <c r="G16" i="45"/>
  <c r="S16" i="79"/>
  <c r="N16" i="79"/>
  <c r="M16" i="79"/>
  <c r="G16" i="79"/>
  <c r="N16" i="46"/>
  <c r="M16" i="46"/>
  <c r="G16" i="46"/>
  <c r="Q16" i="47"/>
  <c r="G16" i="47"/>
  <c r="Q16" i="76"/>
  <c r="L16" i="76"/>
  <c r="K16" i="76"/>
  <c r="G16" i="76"/>
  <c r="S16" i="65"/>
  <c r="N16" i="65"/>
  <c r="M16" i="65"/>
  <c r="G16" i="65"/>
  <c r="W40" i="67"/>
  <c r="R40" i="67"/>
  <c r="Q40" i="67"/>
  <c r="G40" i="67"/>
  <c r="W16" i="67"/>
  <c r="R16" i="67"/>
  <c r="Q16" i="67"/>
  <c r="G16" i="67"/>
  <c r="S16" i="48"/>
  <c r="N16" i="48"/>
  <c r="M16" i="48"/>
  <c r="G16" i="48"/>
  <c r="G39" i="49"/>
  <c r="AA16" i="49"/>
  <c r="V16" i="49"/>
  <c r="U16" i="49"/>
  <c r="G16" i="49"/>
  <c r="AA62" i="82"/>
  <c r="V62" i="82"/>
  <c r="U62" i="82"/>
  <c r="G62" i="82"/>
  <c r="AA39" i="82"/>
  <c r="V39" i="82"/>
  <c r="U39" i="82"/>
  <c r="G39" i="82"/>
  <c r="AA16" i="82"/>
  <c r="V16" i="82"/>
  <c r="U16" i="82"/>
  <c r="G16" i="82"/>
  <c r="G62" i="31"/>
  <c r="G15" i="31"/>
  <c r="G15" i="27"/>
  <c r="U15" i="28"/>
  <c r="P15" i="28"/>
  <c r="O15" i="28"/>
  <c r="G15" i="28"/>
  <c r="N38" i="32"/>
  <c r="M38" i="32"/>
  <c r="G38" i="32"/>
  <c r="S15" i="32"/>
  <c r="P15" i="32"/>
  <c r="N15" i="32"/>
  <c r="M15" i="32"/>
  <c r="G15" i="32"/>
  <c r="R15" i="33"/>
  <c r="M15" i="33"/>
  <c r="L15" i="33"/>
  <c r="G15" i="33"/>
  <c r="R15" i="34"/>
  <c r="M15" i="34"/>
  <c r="L15" i="34"/>
  <c r="G15" i="34"/>
  <c r="R15" i="35"/>
  <c r="M15" i="35"/>
  <c r="L15" i="35"/>
  <c r="G15" i="35"/>
  <c r="R15" i="37"/>
  <c r="G15" i="37"/>
  <c r="R15" i="38"/>
  <c r="M15" i="38"/>
  <c r="L15" i="38"/>
  <c r="G15" i="38"/>
  <c r="S15" i="39"/>
  <c r="N15" i="39"/>
  <c r="M15" i="39"/>
  <c r="G15" i="39"/>
  <c r="S15" i="40"/>
  <c r="P15" i="40"/>
  <c r="N15" i="40"/>
  <c r="M15" i="40"/>
  <c r="G15" i="40"/>
  <c r="S15" i="52"/>
  <c r="N15" i="52"/>
  <c r="M15" i="52"/>
  <c r="G15" i="52"/>
  <c r="S15" i="53"/>
  <c r="N15" i="53"/>
  <c r="M15" i="53"/>
  <c r="G15" i="53"/>
  <c r="S15" i="54"/>
  <c r="N15" i="54"/>
  <c r="M15" i="54"/>
  <c r="G15" i="54"/>
  <c r="G40" i="55"/>
  <c r="AA15" i="55"/>
  <c r="V15" i="55"/>
  <c r="U15" i="55"/>
  <c r="G15" i="55"/>
  <c r="G15" i="56"/>
  <c r="W38" i="50"/>
  <c r="V38" i="50"/>
  <c r="G38" i="50"/>
  <c r="AB15" i="50"/>
  <c r="W15" i="50"/>
  <c r="V15" i="50"/>
  <c r="G15" i="50"/>
  <c r="S15" i="57"/>
  <c r="G15" i="57"/>
  <c r="N15" i="58"/>
  <c r="M15" i="58"/>
  <c r="G15" i="58"/>
  <c r="R15" i="59"/>
  <c r="M15" i="59"/>
  <c r="L15" i="59"/>
  <c r="G15" i="59"/>
  <c r="M15" i="74"/>
  <c r="L15" i="74"/>
  <c r="G15" i="74"/>
  <c r="R15" i="90"/>
  <c r="O15" i="90"/>
  <c r="M15" i="90"/>
  <c r="L15" i="90"/>
  <c r="G15" i="90"/>
  <c r="R15" i="60"/>
  <c r="M15" i="60"/>
  <c r="L15" i="60"/>
  <c r="G15" i="60"/>
  <c r="M15" i="61"/>
  <c r="L15" i="61"/>
  <c r="G15" i="61"/>
  <c r="G15" i="62"/>
  <c r="R15" i="64"/>
  <c r="M15" i="64"/>
  <c r="L15" i="64"/>
  <c r="G15" i="64"/>
  <c r="R15" i="63"/>
  <c r="M15" i="63"/>
  <c r="L15" i="63"/>
  <c r="G15" i="63"/>
  <c r="G15" i="68"/>
  <c r="R15" i="69"/>
  <c r="O15" i="69"/>
  <c r="M15" i="69"/>
  <c r="L15" i="69"/>
  <c r="G15" i="69"/>
  <c r="AB15" i="71"/>
  <c r="W15" i="71"/>
  <c r="V15" i="71"/>
  <c r="G15" i="71"/>
  <c r="R15" i="70"/>
  <c r="M15" i="70"/>
  <c r="L15" i="70"/>
  <c r="G15" i="70"/>
  <c r="AB38" i="73"/>
  <c r="AB15" i="73"/>
  <c r="W15" i="73"/>
  <c r="V15" i="73"/>
  <c r="G15" i="73"/>
  <c r="R15" i="41"/>
  <c r="M15" i="41"/>
  <c r="L15" i="41"/>
  <c r="G15" i="41"/>
  <c r="G15" i="42"/>
  <c r="G15" i="43"/>
  <c r="S15" i="44"/>
  <c r="N15" i="44"/>
  <c r="M15" i="44"/>
  <c r="G15" i="44"/>
  <c r="S15" i="45"/>
  <c r="N15" i="45"/>
  <c r="M15" i="45"/>
  <c r="G15" i="45"/>
  <c r="S15" i="79"/>
  <c r="N15" i="79"/>
  <c r="M15" i="79"/>
  <c r="G15" i="79"/>
  <c r="N15" i="46"/>
  <c r="M15" i="46"/>
  <c r="G15" i="46"/>
  <c r="Q15" i="47"/>
  <c r="G15" i="47"/>
  <c r="Q15" i="76"/>
  <c r="L15" i="76"/>
  <c r="K15" i="76"/>
  <c r="G15" i="76"/>
  <c r="S15" i="65"/>
  <c r="N15" i="65"/>
  <c r="M15" i="65"/>
  <c r="G15" i="65"/>
  <c r="W39" i="67"/>
  <c r="R39" i="67"/>
  <c r="Q39" i="67"/>
  <c r="G39" i="67"/>
  <c r="W15" i="67"/>
  <c r="R15" i="67"/>
  <c r="Q15" i="67"/>
  <c r="G15" i="67"/>
  <c r="S15" i="48"/>
  <c r="N15" i="48"/>
  <c r="M15" i="48"/>
  <c r="G15" i="48"/>
  <c r="G38" i="49"/>
  <c r="AA15" i="49"/>
  <c r="V15" i="49"/>
  <c r="U15" i="49"/>
  <c r="G15" i="49"/>
  <c r="AA61" i="82"/>
  <c r="V61" i="82"/>
  <c r="U61" i="82"/>
  <c r="G61" i="82"/>
  <c r="AA38" i="82"/>
  <c r="V38" i="82"/>
  <c r="U38" i="82"/>
  <c r="G38" i="82"/>
  <c r="AA15" i="82"/>
  <c r="V15" i="82"/>
  <c r="U15" i="82"/>
  <c r="G15" i="82"/>
  <c r="G61" i="31"/>
  <c r="G14" i="31"/>
  <c r="G14" i="27"/>
  <c r="U14" i="28"/>
  <c r="P14" i="28"/>
  <c r="O14" i="28"/>
  <c r="G14" i="28"/>
  <c r="N37" i="32"/>
  <c r="M37" i="32"/>
  <c r="G37" i="32"/>
  <c r="S14" i="32"/>
  <c r="P14" i="32"/>
  <c r="N14" i="32"/>
  <c r="M14" i="32"/>
  <c r="G14" i="32"/>
  <c r="R14" i="33"/>
  <c r="M14" i="33"/>
  <c r="L14" i="33"/>
  <c r="G14" i="33"/>
  <c r="R14" i="34"/>
  <c r="M14" i="34"/>
  <c r="L14" i="34"/>
  <c r="G14" i="34"/>
  <c r="R14" i="35"/>
  <c r="M14" i="35"/>
  <c r="L14" i="35"/>
  <c r="G14" i="35"/>
  <c r="R14" i="37"/>
  <c r="G14" i="37"/>
  <c r="R14" i="38"/>
  <c r="M14" i="38"/>
  <c r="L14" i="38"/>
  <c r="G14" i="38"/>
  <c r="S14" i="39"/>
  <c r="P14" i="39"/>
  <c r="N14" i="39"/>
  <c r="M14" i="39"/>
  <c r="G14" i="39"/>
  <c r="S14" i="40"/>
  <c r="P14" i="40"/>
  <c r="N14" i="40"/>
  <c r="M14" i="40"/>
  <c r="G14" i="40"/>
  <c r="S14" i="52"/>
  <c r="N14" i="52"/>
  <c r="M14" i="52"/>
  <c r="G14" i="52"/>
  <c r="S14" i="53"/>
  <c r="N14" i="53"/>
  <c r="M14" i="53"/>
  <c r="G14" i="53"/>
  <c r="S14" i="54"/>
  <c r="N14" i="54"/>
  <c r="M14" i="54"/>
  <c r="G14" i="54"/>
  <c r="G39" i="55"/>
  <c r="AA14" i="55"/>
  <c r="V14" i="55"/>
  <c r="U14" i="55"/>
  <c r="G14" i="55"/>
  <c r="G14" i="56"/>
  <c r="W37" i="50"/>
  <c r="V37" i="50"/>
  <c r="G37" i="50"/>
  <c r="AB14" i="50"/>
  <c r="W14" i="50"/>
  <c r="V14" i="50"/>
  <c r="G14" i="50"/>
  <c r="S14" i="57"/>
  <c r="G14" i="57"/>
  <c r="N14" i="58"/>
  <c r="M14" i="58"/>
  <c r="G14" i="58"/>
  <c r="R14" i="59"/>
  <c r="M14" i="59"/>
  <c r="L14" i="59"/>
  <c r="G14" i="59"/>
  <c r="M14" i="74"/>
  <c r="L14" i="74"/>
  <c r="G14" i="74"/>
  <c r="R14" i="90"/>
  <c r="O14" i="90"/>
  <c r="M14" i="90"/>
  <c r="L14" i="90"/>
  <c r="G14" i="90"/>
  <c r="R14" i="60"/>
  <c r="M14" i="60"/>
  <c r="L14" i="60"/>
  <c r="G14" i="60"/>
  <c r="M14" i="61"/>
  <c r="L14" i="61"/>
  <c r="G14" i="61"/>
  <c r="G14" i="62"/>
  <c r="R14" i="64"/>
  <c r="M14" i="64"/>
  <c r="L14" i="64"/>
  <c r="G14" i="64"/>
  <c r="R14" i="63"/>
  <c r="M14" i="63"/>
  <c r="L14" i="63"/>
  <c r="G14" i="63"/>
  <c r="G14" i="68"/>
  <c r="R14" i="69"/>
  <c r="O14" i="69"/>
  <c r="M14" i="69"/>
  <c r="L14" i="69"/>
  <c r="G14" i="69"/>
  <c r="AB14" i="71"/>
  <c r="W14" i="71"/>
  <c r="V14" i="71"/>
  <c r="G14" i="71"/>
  <c r="R14" i="70"/>
  <c r="M14" i="70"/>
  <c r="L14" i="70"/>
  <c r="G14" i="70"/>
  <c r="AB37" i="73"/>
  <c r="AB14" i="73"/>
  <c r="W14" i="73"/>
  <c r="V14" i="73"/>
  <c r="G14" i="73"/>
  <c r="R14" i="41"/>
  <c r="M14" i="41"/>
  <c r="L14" i="41"/>
  <c r="G14" i="41"/>
  <c r="G14" i="42"/>
  <c r="G14" i="43"/>
  <c r="S14" i="44"/>
  <c r="N14" i="44"/>
  <c r="M14" i="44"/>
  <c r="G14" i="44"/>
  <c r="S14" i="45"/>
  <c r="N14" i="45"/>
  <c r="M14" i="45"/>
  <c r="G14" i="45"/>
  <c r="S14" i="79"/>
  <c r="N14" i="79"/>
  <c r="M14" i="79"/>
  <c r="G14" i="79"/>
  <c r="N14" i="46"/>
  <c r="M14" i="46"/>
  <c r="G14" i="46"/>
  <c r="Q14" i="47"/>
  <c r="G14" i="47"/>
  <c r="Q14" i="76"/>
  <c r="L14" i="76"/>
  <c r="K14" i="76"/>
  <c r="G14" i="76"/>
  <c r="S14" i="65"/>
  <c r="N14" i="65"/>
  <c r="M14" i="65"/>
  <c r="G14" i="65"/>
  <c r="W38" i="67"/>
  <c r="R38" i="67"/>
  <c r="Q38" i="67"/>
  <c r="G38" i="67"/>
  <c r="W14" i="67"/>
  <c r="R14" i="67"/>
  <c r="Q14" i="67"/>
  <c r="G14" i="67"/>
  <c r="S14" i="48"/>
  <c r="N14" i="48"/>
  <c r="M14" i="48"/>
  <c r="G14" i="48"/>
  <c r="G37" i="49"/>
  <c r="AA14" i="49"/>
  <c r="V14" i="49"/>
  <c r="U14" i="49"/>
  <c r="G14" i="49"/>
  <c r="AA60" i="82"/>
  <c r="V60" i="82"/>
  <c r="U60" i="82"/>
  <c r="G60" i="82"/>
  <c r="AA37" i="82"/>
  <c r="V37" i="82"/>
  <c r="U37" i="82"/>
  <c r="G37" i="82"/>
  <c r="AA14" i="82"/>
  <c r="V14" i="82"/>
  <c r="U14" i="82"/>
  <c r="G14" i="82"/>
  <c r="G60" i="31"/>
  <c r="G13" i="31"/>
  <c r="G13" i="27"/>
  <c r="U13" i="28"/>
  <c r="P13" i="28"/>
  <c r="O13" i="28"/>
  <c r="G13" i="28"/>
  <c r="N36" i="32"/>
  <c r="M36" i="32"/>
  <c r="G36" i="32"/>
  <c r="S13" i="32"/>
  <c r="P13" i="32"/>
  <c r="N13" i="32"/>
  <c r="M13" i="32"/>
  <c r="G13" i="32"/>
  <c r="R13" i="33"/>
  <c r="M13" i="33"/>
  <c r="L13" i="33"/>
  <c r="G13" i="33"/>
  <c r="R13" i="34"/>
  <c r="M13" i="34"/>
  <c r="L13" i="34"/>
  <c r="G13" i="34"/>
  <c r="R13" i="35"/>
  <c r="M13" i="35"/>
  <c r="L13" i="35"/>
  <c r="G13" i="35"/>
  <c r="R13" i="37"/>
  <c r="G13" i="37"/>
  <c r="R13" i="38"/>
  <c r="M13" i="38"/>
  <c r="L13" i="38"/>
  <c r="G13" i="38"/>
  <c r="S13" i="39"/>
  <c r="P13" i="39"/>
  <c r="N13" i="39"/>
  <c r="M13" i="39"/>
  <c r="G13" i="39"/>
  <c r="S13" i="40"/>
  <c r="P13" i="40"/>
  <c r="N13" i="40"/>
  <c r="M13" i="40"/>
  <c r="G13" i="40"/>
  <c r="S13" i="52"/>
  <c r="N13" i="52"/>
  <c r="M13" i="52"/>
  <c r="G13" i="52"/>
  <c r="S13" i="53"/>
  <c r="N13" i="53"/>
  <c r="M13" i="53"/>
  <c r="G13" i="53"/>
  <c r="S13" i="54"/>
  <c r="N13" i="54"/>
  <c r="M13" i="54"/>
  <c r="G13" i="54"/>
  <c r="G38" i="55"/>
  <c r="AA13" i="55"/>
  <c r="V13" i="55"/>
  <c r="U13" i="55"/>
  <c r="G13" i="55"/>
  <c r="G13" i="56"/>
  <c r="W36" i="50"/>
  <c r="V36" i="50"/>
  <c r="G36" i="50"/>
  <c r="AB13" i="50"/>
  <c r="W13" i="50"/>
  <c r="V13" i="50"/>
  <c r="G13" i="50"/>
  <c r="S13" i="57"/>
  <c r="G13" i="57"/>
  <c r="N13" i="58"/>
  <c r="M13" i="58"/>
  <c r="G13" i="58"/>
  <c r="R13" i="59"/>
  <c r="M13" i="59"/>
  <c r="L13" i="59"/>
  <c r="G13" i="59"/>
  <c r="M13" i="74"/>
  <c r="L13" i="74"/>
  <c r="G13" i="74"/>
  <c r="R13" i="90"/>
  <c r="O13" i="90"/>
  <c r="M13" i="90"/>
  <c r="L13" i="90"/>
  <c r="G13" i="90"/>
  <c r="R13" i="60"/>
  <c r="M13" i="60"/>
  <c r="L13" i="60"/>
  <c r="G13" i="60"/>
  <c r="M13" i="61"/>
  <c r="L13" i="61"/>
  <c r="G13" i="61"/>
  <c r="G13" i="62"/>
  <c r="R13" i="64"/>
  <c r="M13" i="64"/>
  <c r="L13" i="64"/>
  <c r="G13" i="64"/>
  <c r="R13" i="63"/>
  <c r="M13" i="63"/>
  <c r="L13" i="63"/>
  <c r="G13" i="63"/>
  <c r="G13" i="68"/>
  <c r="R13" i="69"/>
  <c r="O13" i="69"/>
  <c r="M13" i="69"/>
  <c r="L13" i="69"/>
  <c r="G13" i="69"/>
  <c r="AB13" i="71"/>
  <c r="W13" i="71"/>
  <c r="V13" i="71"/>
  <c r="G13" i="71"/>
  <c r="R13" i="70"/>
  <c r="M13" i="70"/>
  <c r="L13" i="70"/>
  <c r="G13" i="70"/>
  <c r="AB36" i="73"/>
  <c r="AB13" i="73"/>
  <c r="W13" i="73"/>
  <c r="V13" i="73"/>
  <c r="V36" i="73" s="1"/>
  <c r="X36" i="73" s="1"/>
  <c r="G13" i="73"/>
  <c r="R13" i="41"/>
  <c r="M13" i="41"/>
  <c r="L13" i="41"/>
  <c r="G13" i="41"/>
  <c r="G13" i="42"/>
  <c r="G13" i="43"/>
  <c r="S13" i="44"/>
  <c r="N13" i="44"/>
  <c r="M13" i="44"/>
  <c r="G13" i="44"/>
  <c r="S13" i="45"/>
  <c r="N13" i="45"/>
  <c r="M13" i="45"/>
  <c r="G13" i="45"/>
  <c r="S13" i="79"/>
  <c r="N13" i="79"/>
  <c r="M13" i="79"/>
  <c r="G13" i="79"/>
  <c r="N13" i="46"/>
  <c r="M13" i="46"/>
  <c r="G13" i="46"/>
  <c r="Q13" i="47"/>
  <c r="G13" i="47"/>
  <c r="Q13" i="76"/>
  <c r="L13" i="76"/>
  <c r="K13" i="76"/>
  <c r="G13" i="76"/>
  <c r="S13" i="65"/>
  <c r="N13" i="65"/>
  <c r="M13" i="65"/>
  <c r="G13" i="65"/>
  <c r="W37" i="67"/>
  <c r="R37" i="67"/>
  <c r="Q37" i="67"/>
  <c r="G37" i="67"/>
  <c r="W13" i="67"/>
  <c r="R13" i="67"/>
  <c r="Q13" i="67"/>
  <c r="G13" i="67"/>
  <c r="S13" i="48"/>
  <c r="N13" i="48"/>
  <c r="M13" i="48"/>
  <c r="G13" i="48"/>
  <c r="G36" i="49"/>
  <c r="AA13" i="49"/>
  <c r="V13" i="49"/>
  <c r="U13" i="49"/>
  <c r="G13" i="49"/>
  <c r="AA59" i="82"/>
  <c r="V59" i="82"/>
  <c r="U59" i="82"/>
  <c r="G59" i="82"/>
  <c r="AA36" i="82"/>
  <c r="V36" i="82"/>
  <c r="U36" i="82"/>
  <c r="G36" i="82"/>
  <c r="AA13" i="82"/>
  <c r="V13" i="82"/>
  <c r="U13" i="82"/>
  <c r="G13" i="82"/>
  <c r="G59" i="31"/>
  <c r="G12" i="31"/>
  <c r="G12" i="27"/>
  <c r="U12" i="28"/>
  <c r="P12" i="28"/>
  <c r="O12" i="28"/>
  <c r="G12" i="28"/>
  <c r="N35" i="32"/>
  <c r="M35" i="32"/>
  <c r="G35" i="32"/>
  <c r="S12" i="32"/>
  <c r="P12" i="32"/>
  <c r="N12" i="32"/>
  <c r="M12" i="32"/>
  <c r="G12" i="32"/>
  <c r="R12" i="33"/>
  <c r="M12" i="33"/>
  <c r="L12" i="33"/>
  <c r="G12" i="33"/>
  <c r="R12" i="34"/>
  <c r="M12" i="34"/>
  <c r="L12" i="34"/>
  <c r="G12" i="34"/>
  <c r="R12" i="35"/>
  <c r="M12" i="35"/>
  <c r="L12" i="35"/>
  <c r="G12" i="35"/>
  <c r="R12" i="37"/>
  <c r="G12" i="37"/>
  <c r="R12" i="38"/>
  <c r="M12" i="38"/>
  <c r="L12" i="38"/>
  <c r="G12" i="38"/>
  <c r="S12" i="39"/>
  <c r="P12" i="39"/>
  <c r="N12" i="39"/>
  <c r="M12" i="39"/>
  <c r="G12" i="39"/>
  <c r="S12" i="40"/>
  <c r="P12" i="40"/>
  <c r="N12" i="40"/>
  <c r="M12" i="40"/>
  <c r="G12" i="40"/>
  <c r="S12" i="52"/>
  <c r="N12" i="52"/>
  <c r="M12" i="52"/>
  <c r="G12" i="52"/>
  <c r="S12" i="53"/>
  <c r="N12" i="53"/>
  <c r="M12" i="53"/>
  <c r="G12" i="53"/>
  <c r="S12" i="54"/>
  <c r="N12" i="54"/>
  <c r="M12" i="54"/>
  <c r="G12" i="54"/>
  <c r="G37" i="55"/>
  <c r="AA12" i="55"/>
  <c r="V12" i="55"/>
  <c r="U12" i="55"/>
  <c r="G12" i="55"/>
  <c r="G12" i="56"/>
  <c r="W35" i="50"/>
  <c r="V35" i="50"/>
  <c r="G35" i="50"/>
  <c r="AB12" i="50"/>
  <c r="W12" i="50"/>
  <c r="V12" i="50"/>
  <c r="G12" i="50"/>
  <c r="S12" i="57"/>
  <c r="G12" i="57"/>
  <c r="N12" i="58"/>
  <c r="M12" i="58"/>
  <c r="G12" i="58"/>
  <c r="R12" i="59"/>
  <c r="M12" i="59"/>
  <c r="L12" i="59"/>
  <c r="G12" i="59"/>
  <c r="M12" i="74"/>
  <c r="L12" i="74"/>
  <c r="G12" i="74"/>
  <c r="R12" i="90"/>
  <c r="O12" i="90"/>
  <c r="M12" i="90"/>
  <c r="L12" i="90"/>
  <c r="G12" i="90"/>
  <c r="R12" i="60"/>
  <c r="M12" i="60"/>
  <c r="L12" i="60"/>
  <c r="G12" i="60"/>
  <c r="M12" i="61"/>
  <c r="L12" i="61"/>
  <c r="G12" i="61"/>
  <c r="G12" i="62"/>
  <c r="R12" i="64"/>
  <c r="M12" i="64"/>
  <c r="L12" i="64"/>
  <c r="G12" i="64"/>
  <c r="R12" i="63"/>
  <c r="M12" i="63"/>
  <c r="L12" i="63"/>
  <c r="G12" i="63"/>
  <c r="G12" i="68"/>
  <c r="R12" i="69"/>
  <c r="O12" i="69"/>
  <c r="M12" i="69"/>
  <c r="L12" i="69"/>
  <c r="G12" i="69"/>
  <c r="AB12" i="71"/>
  <c r="W12" i="71"/>
  <c r="V12" i="71"/>
  <c r="G12" i="71"/>
  <c r="R12" i="70"/>
  <c r="M12" i="70"/>
  <c r="L12" i="70"/>
  <c r="G12" i="70"/>
  <c r="AB35" i="73"/>
  <c r="AB12" i="73"/>
  <c r="W12" i="73"/>
  <c r="V12" i="73"/>
  <c r="G12" i="73"/>
  <c r="R12" i="41"/>
  <c r="M12" i="41"/>
  <c r="L12" i="41"/>
  <c r="G12" i="41"/>
  <c r="G12" i="42"/>
  <c r="G12" i="43"/>
  <c r="S12" i="44"/>
  <c r="N12" i="44"/>
  <c r="M12" i="44"/>
  <c r="G12" i="44"/>
  <c r="S12" i="45"/>
  <c r="N12" i="45"/>
  <c r="M12" i="45"/>
  <c r="G12" i="45"/>
  <c r="S12" i="79"/>
  <c r="N12" i="79"/>
  <c r="M12" i="79"/>
  <c r="G12" i="79"/>
  <c r="N12" i="46"/>
  <c r="M12" i="46"/>
  <c r="G12" i="46"/>
  <c r="Q12" i="47"/>
  <c r="G12" i="47"/>
  <c r="Q12" i="76"/>
  <c r="L12" i="76"/>
  <c r="K12" i="76"/>
  <c r="G12" i="76"/>
  <c r="S12" i="65"/>
  <c r="N12" i="65"/>
  <c r="M12" i="65"/>
  <c r="G12" i="65"/>
  <c r="W36" i="67"/>
  <c r="R36" i="67"/>
  <c r="Q36" i="67"/>
  <c r="G36" i="67"/>
  <c r="W12" i="67"/>
  <c r="R12" i="67"/>
  <c r="Q12" i="67"/>
  <c r="G12" i="67"/>
  <c r="S12" i="48"/>
  <c r="N12" i="48"/>
  <c r="M12" i="48"/>
  <c r="G12" i="48"/>
  <c r="G35" i="49"/>
  <c r="AA12" i="49"/>
  <c r="V12" i="49"/>
  <c r="U12" i="49"/>
  <c r="G12" i="49"/>
  <c r="AA58" i="82"/>
  <c r="V58" i="82"/>
  <c r="U58" i="82"/>
  <c r="G58" i="82"/>
  <c r="AA35" i="82"/>
  <c r="V35" i="82"/>
  <c r="U35" i="82"/>
  <c r="G35" i="82"/>
  <c r="AA12" i="82"/>
  <c r="V12" i="82"/>
  <c r="U12" i="82"/>
  <c r="G12" i="82"/>
  <c r="G58" i="31"/>
  <c r="G11" i="31"/>
  <c r="G11" i="27"/>
  <c r="U11" i="28"/>
  <c r="P11" i="28"/>
  <c r="O11" i="28"/>
  <c r="G11" i="28"/>
  <c r="N34" i="32"/>
  <c r="M34" i="32"/>
  <c r="G34" i="32"/>
  <c r="S11" i="32"/>
  <c r="P11" i="32"/>
  <c r="N11" i="32"/>
  <c r="M11" i="32"/>
  <c r="G11" i="32"/>
  <c r="R11" i="33"/>
  <c r="M11" i="33"/>
  <c r="L11" i="33"/>
  <c r="G11" i="33"/>
  <c r="R11" i="34"/>
  <c r="M11" i="34"/>
  <c r="L11" i="34"/>
  <c r="G11" i="34"/>
  <c r="R11" i="35"/>
  <c r="M11" i="35"/>
  <c r="L11" i="35"/>
  <c r="G11" i="35"/>
  <c r="R11" i="37"/>
  <c r="G11" i="37"/>
  <c r="R11" i="38"/>
  <c r="M11" i="38"/>
  <c r="L11" i="38"/>
  <c r="G11" i="38"/>
  <c r="S11" i="39"/>
  <c r="P11" i="39"/>
  <c r="N11" i="39"/>
  <c r="M11" i="39"/>
  <c r="G11" i="39"/>
  <c r="S11" i="40"/>
  <c r="P11" i="40"/>
  <c r="N11" i="40"/>
  <c r="M11" i="40"/>
  <c r="G11" i="40"/>
  <c r="S11" i="52"/>
  <c r="N11" i="52"/>
  <c r="M11" i="52"/>
  <c r="G11" i="52"/>
  <c r="S11" i="53"/>
  <c r="N11" i="53"/>
  <c r="M11" i="53"/>
  <c r="G11" i="53"/>
  <c r="S11" i="54"/>
  <c r="N11" i="54"/>
  <c r="M11" i="54"/>
  <c r="G11" i="54"/>
  <c r="G36" i="55"/>
  <c r="AA11" i="55"/>
  <c r="V11" i="55"/>
  <c r="U11" i="55"/>
  <c r="G11" i="55"/>
  <c r="G11" i="56"/>
  <c r="W34" i="50"/>
  <c r="V34" i="50"/>
  <c r="G34" i="50"/>
  <c r="AB11" i="50"/>
  <c r="W11" i="50"/>
  <c r="V11" i="50"/>
  <c r="G11" i="50"/>
  <c r="S11" i="57"/>
  <c r="G11" i="57"/>
  <c r="N11" i="58"/>
  <c r="M11" i="58"/>
  <c r="G11" i="58"/>
  <c r="R11" i="59"/>
  <c r="M11" i="59"/>
  <c r="L11" i="59"/>
  <c r="G11" i="59"/>
  <c r="M11" i="74"/>
  <c r="L11" i="74"/>
  <c r="G11" i="74"/>
  <c r="R11" i="90"/>
  <c r="O11" i="90"/>
  <c r="M11" i="90"/>
  <c r="L11" i="90"/>
  <c r="G11" i="90"/>
  <c r="R11" i="60"/>
  <c r="M11" i="60"/>
  <c r="L11" i="60"/>
  <c r="G11" i="60"/>
  <c r="M11" i="61"/>
  <c r="L11" i="61"/>
  <c r="G11" i="61"/>
  <c r="G11" i="62"/>
  <c r="R11" i="64"/>
  <c r="M11" i="64"/>
  <c r="L11" i="64"/>
  <c r="G11" i="64"/>
  <c r="R11" i="63"/>
  <c r="M11" i="63"/>
  <c r="L11" i="63"/>
  <c r="G11" i="63"/>
  <c r="G11" i="68"/>
  <c r="R11" i="69"/>
  <c r="O11" i="69"/>
  <c r="M11" i="69"/>
  <c r="L11" i="69"/>
  <c r="G11" i="69"/>
  <c r="AB11" i="71"/>
  <c r="W11" i="71"/>
  <c r="V11" i="71"/>
  <c r="G11" i="71"/>
  <c r="R11" i="70"/>
  <c r="M11" i="70"/>
  <c r="L11" i="70"/>
  <c r="G11" i="70"/>
  <c r="AB11" i="73"/>
  <c r="W11" i="73"/>
  <c r="V11" i="73"/>
  <c r="G11" i="73"/>
  <c r="R11" i="41"/>
  <c r="M11" i="41"/>
  <c r="L11" i="41"/>
  <c r="G11" i="41"/>
  <c r="G11" i="42"/>
  <c r="G11" i="43"/>
  <c r="S11" i="44"/>
  <c r="N11" i="44"/>
  <c r="M11" i="44"/>
  <c r="G11" i="44"/>
  <c r="S11" i="45"/>
  <c r="N11" i="45"/>
  <c r="M11" i="45"/>
  <c r="G11" i="45"/>
  <c r="S11" i="79"/>
  <c r="N11" i="79"/>
  <c r="M11" i="79"/>
  <c r="G11" i="79"/>
  <c r="N11" i="46"/>
  <c r="M11" i="46"/>
  <c r="G11" i="46"/>
  <c r="Q11" i="47"/>
  <c r="G11" i="47"/>
  <c r="Q11" i="76"/>
  <c r="L11" i="76"/>
  <c r="K11" i="76"/>
  <c r="G11" i="76"/>
  <c r="S11" i="65"/>
  <c r="N11" i="65"/>
  <c r="M11" i="65"/>
  <c r="G11" i="65"/>
  <c r="W35" i="67"/>
  <c r="R35" i="67"/>
  <c r="Q35" i="67"/>
  <c r="G35" i="67"/>
  <c r="W11" i="67"/>
  <c r="R11" i="67"/>
  <c r="Q11" i="67"/>
  <c r="G11" i="67"/>
  <c r="S11" i="48"/>
  <c r="N11" i="48"/>
  <c r="M11" i="48"/>
  <c r="G11" i="48"/>
  <c r="G34" i="49"/>
  <c r="AA11" i="49"/>
  <c r="V11" i="49"/>
  <c r="U11" i="49"/>
  <c r="G11" i="49"/>
  <c r="AA57" i="82"/>
  <c r="V57" i="82"/>
  <c r="U57" i="82"/>
  <c r="G57" i="82"/>
  <c r="AA34" i="82"/>
  <c r="V34" i="82"/>
  <c r="U34" i="82"/>
  <c r="G34" i="82"/>
  <c r="AA11" i="82"/>
  <c r="V11" i="82"/>
  <c r="U11" i="82"/>
  <c r="G11" i="82"/>
  <c r="G57" i="31"/>
  <c r="G10" i="31"/>
  <c r="G10" i="27"/>
  <c r="U10" i="28"/>
  <c r="P10" i="28"/>
  <c r="O10" i="28"/>
  <c r="G10" i="28"/>
  <c r="N33" i="32"/>
  <c r="M33" i="32"/>
  <c r="G33" i="32"/>
  <c r="S10" i="32"/>
  <c r="P10" i="32"/>
  <c r="N10" i="32"/>
  <c r="M10" i="32"/>
  <c r="G10" i="32"/>
  <c r="R10" i="33"/>
  <c r="M10" i="33"/>
  <c r="L10" i="33"/>
  <c r="G10" i="33"/>
  <c r="R10" i="34"/>
  <c r="M10" i="34"/>
  <c r="L10" i="34"/>
  <c r="G10" i="34"/>
  <c r="R10" i="35"/>
  <c r="M10" i="35"/>
  <c r="L10" i="35"/>
  <c r="G10" i="35"/>
  <c r="R10" i="37"/>
  <c r="G10" i="37"/>
  <c r="R10" i="38"/>
  <c r="M10" i="38"/>
  <c r="L10" i="38"/>
  <c r="G10" i="38"/>
  <c r="S10" i="39"/>
  <c r="P10" i="39"/>
  <c r="N10" i="39"/>
  <c r="M10" i="39"/>
  <c r="G10" i="39"/>
  <c r="S10" i="40"/>
  <c r="P10" i="40"/>
  <c r="N10" i="40"/>
  <c r="M10" i="40"/>
  <c r="G10" i="40"/>
  <c r="S10" i="52"/>
  <c r="N10" i="52"/>
  <c r="M10" i="52"/>
  <c r="G10" i="52"/>
  <c r="S10" i="53"/>
  <c r="N10" i="53"/>
  <c r="M10" i="53"/>
  <c r="G10" i="53"/>
  <c r="S10" i="54"/>
  <c r="N10" i="54"/>
  <c r="M10" i="54"/>
  <c r="G10" i="54"/>
  <c r="G35" i="55"/>
  <c r="AA10" i="55"/>
  <c r="V10" i="55"/>
  <c r="U10" i="55"/>
  <c r="G10" i="55"/>
  <c r="G10" i="56"/>
  <c r="W33" i="50"/>
  <c r="V33" i="50"/>
  <c r="G33" i="50"/>
  <c r="AB10" i="50"/>
  <c r="W10" i="50"/>
  <c r="V10" i="50"/>
  <c r="G10" i="50"/>
  <c r="S10" i="57"/>
  <c r="G10" i="57"/>
  <c r="N10" i="58"/>
  <c r="M10" i="58"/>
  <c r="G10" i="58"/>
  <c r="R10" i="59"/>
  <c r="M10" i="59"/>
  <c r="L10" i="59"/>
  <c r="G10" i="59"/>
  <c r="M10" i="74"/>
  <c r="L10" i="74"/>
  <c r="G10" i="74"/>
  <c r="R10" i="90"/>
  <c r="O10" i="90"/>
  <c r="M10" i="90"/>
  <c r="L10" i="90"/>
  <c r="G10" i="90"/>
  <c r="R10" i="60"/>
  <c r="M10" i="60"/>
  <c r="L10" i="60"/>
  <c r="G10" i="60"/>
  <c r="M10" i="61"/>
  <c r="L10" i="61"/>
  <c r="G10" i="61"/>
  <c r="G10" i="62"/>
  <c r="R10" i="64"/>
  <c r="M10" i="64"/>
  <c r="L10" i="64"/>
  <c r="G10" i="64"/>
  <c r="R10" i="63"/>
  <c r="M10" i="63"/>
  <c r="L10" i="63"/>
  <c r="G10" i="63"/>
  <c r="G10" i="68"/>
  <c r="R10" i="69"/>
  <c r="O10" i="69"/>
  <c r="M10" i="69"/>
  <c r="L10" i="69"/>
  <c r="G10" i="69"/>
  <c r="AB10" i="71"/>
  <c r="W10" i="71"/>
  <c r="V10" i="71"/>
  <c r="G10" i="71"/>
  <c r="R10" i="70"/>
  <c r="M10" i="70"/>
  <c r="L10" i="70"/>
  <c r="G10" i="70"/>
  <c r="AB10" i="73"/>
  <c r="W10" i="73"/>
  <c r="V10" i="73"/>
  <c r="G10" i="73"/>
  <c r="R10" i="41"/>
  <c r="M10" i="41"/>
  <c r="L10" i="41"/>
  <c r="G10" i="41"/>
  <c r="G10" i="42"/>
  <c r="G10" i="43"/>
  <c r="S10" i="44"/>
  <c r="N10" i="44"/>
  <c r="M10" i="44"/>
  <c r="G10" i="44"/>
  <c r="S10" i="45"/>
  <c r="N10" i="45"/>
  <c r="M10" i="45"/>
  <c r="G10" i="45"/>
  <c r="S10" i="79"/>
  <c r="N10" i="79"/>
  <c r="M10" i="79"/>
  <c r="G10" i="79"/>
  <c r="N10" i="46"/>
  <c r="M10" i="46"/>
  <c r="G10" i="46"/>
  <c r="Q10" i="47"/>
  <c r="G10" i="47"/>
  <c r="Q10" i="76"/>
  <c r="L10" i="76"/>
  <c r="K10" i="76"/>
  <c r="G10" i="76"/>
  <c r="S10" i="65"/>
  <c r="N10" i="65"/>
  <c r="M10" i="65"/>
  <c r="G10" i="65"/>
  <c r="W34" i="67"/>
  <c r="R34" i="67"/>
  <c r="Q34" i="67"/>
  <c r="G34" i="67"/>
  <c r="W10" i="67"/>
  <c r="R10" i="67"/>
  <c r="Q10" i="67"/>
  <c r="G10" i="67"/>
  <c r="S10" i="48"/>
  <c r="N10" i="48"/>
  <c r="M10" i="48"/>
  <c r="G10" i="48"/>
  <c r="G33" i="49"/>
  <c r="AA10" i="49"/>
  <c r="V10" i="49"/>
  <c r="U10" i="49"/>
  <c r="G10" i="49"/>
  <c r="AA56" i="82"/>
  <c r="V56" i="82"/>
  <c r="U56" i="82"/>
  <c r="G56" i="82"/>
  <c r="AA33" i="82"/>
  <c r="V33" i="82"/>
  <c r="U33" i="82"/>
  <c r="G33" i="82"/>
  <c r="AA10" i="82"/>
  <c r="V10" i="82"/>
  <c r="U10" i="82"/>
  <c r="G10" i="82"/>
  <c r="G56" i="31"/>
  <c r="G9" i="31"/>
  <c r="G9" i="27"/>
  <c r="U9" i="28"/>
  <c r="P9" i="28"/>
  <c r="O9" i="28"/>
  <c r="G9" i="28"/>
  <c r="N32" i="32"/>
  <c r="M32" i="32"/>
  <c r="G32" i="32"/>
  <c r="S9" i="32"/>
  <c r="P9" i="32"/>
  <c r="N9" i="32"/>
  <c r="M9" i="32"/>
  <c r="G9" i="32"/>
  <c r="R9" i="33"/>
  <c r="M9" i="33"/>
  <c r="L9" i="33"/>
  <c r="G9" i="33"/>
  <c r="R9" i="34"/>
  <c r="M9" i="34"/>
  <c r="L9" i="34"/>
  <c r="G9" i="34"/>
  <c r="R9" i="35"/>
  <c r="M9" i="35"/>
  <c r="L9" i="35"/>
  <c r="G9" i="35"/>
  <c r="R9" i="37"/>
  <c r="G9" i="37"/>
  <c r="R9" i="38"/>
  <c r="M9" i="38"/>
  <c r="L9" i="38"/>
  <c r="G9" i="38"/>
  <c r="S9" i="39"/>
  <c r="P9" i="39"/>
  <c r="N9" i="39"/>
  <c r="M9" i="39"/>
  <c r="G9" i="39"/>
  <c r="S9" i="40"/>
  <c r="P9" i="40"/>
  <c r="N9" i="40"/>
  <c r="M9" i="40"/>
  <c r="G9" i="40"/>
  <c r="S9" i="52"/>
  <c r="N9" i="52"/>
  <c r="M9" i="52"/>
  <c r="G9" i="52"/>
  <c r="S9" i="53"/>
  <c r="N9" i="53"/>
  <c r="M9" i="53"/>
  <c r="G9" i="53"/>
  <c r="S9" i="54"/>
  <c r="N9" i="54"/>
  <c r="M9" i="54"/>
  <c r="G9" i="54"/>
  <c r="G34" i="55"/>
  <c r="AA9" i="55"/>
  <c r="V9" i="55"/>
  <c r="U9" i="55"/>
  <c r="G9" i="55"/>
  <c r="G9" i="56"/>
  <c r="W32" i="50"/>
  <c r="V32" i="50"/>
  <c r="G32" i="50"/>
  <c r="AB9" i="50"/>
  <c r="W9" i="50"/>
  <c r="V9" i="50"/>
  <c r="G9" i="50"/>
  <c r="S9" i="57"/>
  <c r="G9" i="57"/>
  <c r="N9" i="58"/>
  <c r="M9" i="58"/>
  <c r="G9" i="58"/>
  <c r="R9" i="59"/>
  <c r="M9" i="59"/>
  <c r="L9" i="59"/>
  <c r="G9" i="59"/>
  <c r="M9" i="74"/>
  <c r="L9" i="74"/>
  <c r="G9" i="74"/>
  <c r="R9" i="90"/>
  <c r="O9" i="90"/>
  <c r="M9" i="90"/>
  <c r="L9" i="90"/>
  <c r="G9" i="90"/>
  <c r="R9" i="60"/>
  <c r="M9" i="60"/>
  <c r="L9" i="60"/>
  <c r="G9" i="60"/>
  <c r="M9" i="61"/>
  <c r="L9" i="61"/>
  <c r="G9" i="61"/>
  <c r="G9" i="62"/>
  <c r="R9" i="64"/>
  <c r="M9" i="64"/>
  <c r="L9" i="64"/>
  <c r="G9" i="64"/>
  <c r="R9" i="63"/>
  <c r="M9" i="63"/>
  <c r="L9" i="63"/>
  <c r="G9" i="63"/>
  <c r="G9" i="68"/>
  <c r="R9" i="69"/>
  <c r="O9" i="69"/>
  <c r="M9" i="69"/>
  <c r="L9" i="69"/>
  <c r="G9" i="69"/>
  <c r="AB9" i="71"/>
  <c r="W9" i="71"/>
  <c r="V9" i="71"/>
  <c r="G9" i="71"/>
  <c r="R9" i="70"/>
  <c r="M9" i="70"/>
  <c r="L9" i="70"/>
  <c r="G9" i="70"/>
  <c r="AB9" i="73"/>
  <c r="W9" i="73"/>
  <c r="V9" i="73"/>
  <c r="G9" i="73"/>
  <c r="R9" i="41"/>
  <c r="M9" i="41"/>
  <c r="L9" i="41"/>
  <c r="G9" i="41"/>
  <c r="G9" i="42"/>
  <c r="G9" i="43"/>
  <c r="S9" i="44"/>
  <c r="N9" i="44"/>
  <c r="M9" i="44"/>
  <c r="G9" i="44"/>
  <c r="S9" i="45"/>
  <c r="N9" i="45"/>
  <c r="M9" i="45"/>
  <c r="G9" i="45"/>
  <c r="S9" i="79"/>
  <c r="N9" i="79"/>
  <c r="M9" i="79"/>
  <c r="G9" i="79"/>
  <c r="N9" i="46"/>
  <c r="M9" i="46"/>
  <c r="G9" i="46"/>
  <c r="Q9" i="47"/>
  <c r="G9" i="47"/>
  <c r="Q9" i="76"/>
  <c r="L9" i="76"/>
  <c r="K9" i="76"/>
  <c r="G9" i="76"/>
  <c r="S9" i="65"/>
  <c r="N9" i="65"/>
  <c r="M9" i="65"/>
  <c r="G9" i="65"/>
  <c r="W33" i="67"/>
  <c r="R33" i="67"/>
  <c r="Q33" i="67"/>
  <c r="G33" i="67"/>
  <c r="W9" i="67"/>
  <c r="R9" i="67"/>
  <c r="Q9" i="67"/>
  <c r="G9" i="67"/>
  <c r="S9" i="48"/>
  <c r="N9" i="48"/>
  <c r="M9" i="48"/>
  <c r="G9" i="48"/>
  <c r="G32" i="49"/>
  <c r="AA9" i="49"/>
  <c r="V9" i="49"/>
  <c r="U9" i="49"/>
  <c r="G9" i="49"/>
  <c r="AA55" i="82"/>
  <c r="V55" i="82"/>
  <c r="U55" i="82"/>
  <c r="G55" i="82"/>
  <c r="AA32" i="82"/>
  <c r="V32" i="82"/>
  <c r="U32" i="82"/>
  <c r="G32" i="82"/>
  <c r="AA9" i="82"/>
  <c r="V9" i="82"/>
  <c r="U9" i="82"/>
  <c r="G9" i="82"/>
  <c r="G55" i="31"/>
  <c r="G8" i="31"/>
  <c r="G8" i="27"/>
  <c r="U8" i="28"/>
  <c r="P8" i="28"/>
  <c r="O8" i="28"/>
  <c r="G8" i="28"/>
  <c r="N31" i="32"/>
  <c r="M31" i="32"/>
  <c r="G31" i="32"/>
  <c r="S8" i="32"/>
  <c r="P8" i="32"/>
  <c r="N8" i="32"/>
  <c r="M8" i="32"/>
  <c r="G8" i="32"/>
  <c r="R8" i="33"/>
  <c r="M8" i="33"/>
  <c r="L8" i="33"/>
  <c r="G8" i="33"/>
  <c r="R8" i="34"/>
  <c r="M8" i="34"/>
  <c r="L8" i="34"/>
  <c r="G8" i="34"/>
  <c r="R8" i="35"/>
  <c r="M8" i="35"/>
  <c r="L8" i="35"/>
  <c r="G8" i="35"/>
  <c r="R8" i="37"/>
  <c r="G8" i="37"/>
  <c r="R8" i="38"/>
  <c r="M8" i="38"/>
  <c r="L8" i="38"/>
  <c r="G8" i="38"/>
  <c r="S8" i="39"/>
  <c r="P8" i="39"/>
  <c r="N8" i="39"/>
  <c r="M8" i="39"/>
  <c r="G8" i="39"/>
  <c r="S8" i="40"/>
  <c r="P8" i="40"/>
  <c r="N8" i="40"/>
  <c r="M8" i="40"/>
  <c r="G8" i="40"/>
  <c r="S8" i="52"/>
  <c r="N8" i="52"/>
  <c r="M8" i="52"/>
  <c r="G8" i="52"/>
  <c r="S8" i="53"/>
  <c r="N8" i="53"/>
  <c r="M8" i="53"/>
  <c r="G8" i="53"/>
  <c r="S8" i="54"/>
  <c r="N8" i="54"/>
  <c r="M8" i="54"/>
  <c r="G8" i="54"/>
  <c r="G33" i="55"/>
  <c r="AA8" i="55"/>
  <c r="V8" i="55"/>
  <c r="U8" i="55"/>
  <c r="G8" i="55"/>
  <c r="G8" i="56"/>
  <c r="W31" i="50"/>
  <c r="V31" i="50"/>
  <c r="G31" i="50"/>
  <c r="AB8" i="50"/>
  <c r="W8" i="50"/>
  <c r="V8" i="50"/>
  <c r="G8" i="50"/>
  <c r="S8" i="57"/>
  <c r="G8" i="57"/>
  <c r="N8" i="58"/>
  <c r="M8" i="58"/>
  <c r="G8" i="58"/>
  <c r="R8" i="59"/>
  <c r="M8" i="59"/>
  <c r="L8" i="59"/>
  <c r="G8" i="59"/>
  <c r="M8" i="74"/>
  <c r="L8" i="74"/>
  <c r="G8" i="74"/>
  <c r="R8" i="90"/>
  <c r="O8" i="90"/>
  <c r="M8" i="90"/>
  <c r="L8" i="90"/>
  <c r="G8" i="90"/>
  <c r="R8" i="60"/>
  <c r="M8" i="60"/>
  <c r="L8" i="60"/>
  <c r="G8" i="60"/>
  <c r="M8" i="61"/>
  <c r="L8" i="61"/>
  <c r="G8" i="61"/>
  <c r="G8" i="62"/>
  <c r="R8" i="64"/>
  <c r="M8" i="64"/>
  <c r="L8" i="64"/>
  <c r="G8" i="64"/>
  <c r="R8" i="63"/>
  <c r="M8" i="63"/>
  <c r="L8" i="63"/>
  <c r="G8" i="63"/>
  <c r="G8" i="68"/>
  <c r="R8" i="69"/>
  <c r="O8" i="69"/>
  <c r="M8" i="69"/>
  <c r="L8" i="69"/>
  <c r="G8" i="69"/>
  <c r="AB8" i="71"/>
  <c r="W8" i="71"/>
  <c r="V8" i="71"/>
  <c r="G8" i="71"/>
  <c r="R8" i="70"/>
  <c r="M8" i="70"/>
  <c r="L8" i="70"/>
  <c r="G8" i="70"/>
  <c r="AB8" i="73"/>
  <c r="W8" i="73"/>
  <c r="V8" i="73"/>
  <c r="G8" i="73"/>
  <c r="R8" i="41"/>
  <c r="M8" i="41"/>
  <c r="L8" i="41"/>
  <c r="G8" i="41"/>
  <c r="G8" i="42"/>
  <c r="G8" i="43"/>
  <c r="S8" i="44"/>
  <c r="N8" i="44"/>
  <c r="M8" i="44"/>
  <c r="G8" i="44"/>
  <c r="S8" i="45"/>
  <c r="N8" i="45"/>
  <c r="M8" i="45"/>
  <c r="G8" i="45"/>
  <c r="S8" i="79"/>
  <c r="N8" i="79"/>
  <c r="M8" i="79"/>
  <c r="G8" i="79"/>
  <c r="N8" i="46"/>
  <c r="M8" i="46"/>
  <c r="G8" i="46"/>
  <c r="Q8" i="47"/>
  <c r="G8" i="47"/>
  <c r="Q8" i="76"/>
  <c r="L8" i="76"/>
  <c r="K8" i="76"/>
  <c r="G8" i="76"/>
  <c r="S8" i="65"/>
  <c r="N8" i="65"/>
  <c r="M8" i="65"/>
  <c r="G8" i="65"/>
  <c r="W32" i="67"/>
  <c r="R32" i="67"/>
  <c r="Q32" i="67"/>
  <c r="G32" i="67"/>
  <c r="W8" i="67"/>
  <c r="R8" i="67"/>
  <c r="Q8" i="67"/>
  <c r="G8" i="67"/>
  <c r="S8" i="48"/>
  <c r="N8" i="48"/>
  <c r="M8" i="48"/>
  <c r="G8" i="48"/>
  <c r="G31" i="49"/>
  <c r="AA8" i="49"/>
  <c r="V8" i="49"/>
  <c r="U8" i="49"/>
  <c r="G8" i="49"/>
  <c r="AA54" i="82"/>
  <c r="V54" i="82"/>
  <c r="U54" i="82"/>
  <c r="G54" i="82"/>
  <c r="AA31" i="82"/>
  <c r="V31" i="82"/>
  <c r="U31" i="82"/>
  <c r="G31" i="82"/>
  <c r="AA8" i="82"/>
  <c r="V8" i="82"/>
  <c r="U8" i="82"/>
  <c r="G8" i="82"/>
  <c r="G54" i="31"/>
  <c r="G7" i="31"/>
  <c r="G7" i="27"/>
  <c r="U7" i="28"/>
  <c r="P7" i="28"/>
  <c r="O7" i="28"/>
  <c r="G7" i="28"/>
  <c r="N30" i="32"/>
  <c r="M30" i="32"/>
  <c r="G30" i="32"/>
  <c r="S7" i="32"/>
  <c r="P7" i="32"/>
  <c r="N7" i="32"/>
  <c r="M7" i="32"/>
  <c r="G7" i="32"/>
  <c r="R7" i="33"/>
  <c r="M7" i="33"/>
  <c r="L7" i="33"/>
  <c r="G7" i="33"/>
  <c r="R7" i="34"/>
  <c r="M7" i="34"/>
  <c r="L7" i="34"/>
  <c r="G7" i="34"/>
  <c r="R7" i="35"/>
  <c r="M7" i="35"/>
  <c r="L7" i="35"/>
  <c r="G7" i="35"/>
  <c r="R7" i="37"/>
  <c r="G7" i="37"/>
  <c r="R7" i="38"/>
  <c r="M7" i="38"/>
  <c r="L7" i="38"/>
  <c r="G7" i="38"/>
  <c r="S7" i="39"/>
  <c r="P7" i="39"/>
  <c r="N7" i="39"/>
  <c r="M7" i="39"/>
  <c r="G7" i="39"/>
  <c r="S7" i="40"/>
  <c r="P7" i="40"/>
  <c r="N7" i="40"/>
  <c r="M7" i="40"/>
  <c r="G7" i="40"/>
  <c r="S7" i="52"/>
  <c r="N7" i="52"/>
  <c r="M7" i="52"/>
  <c r="G7" i="52"/>
  <c r="S7" i="53"/>
  <c r="N7" i="53"/>
  <c r="M7" i="53"/>
  <c r="G7" i="53"/>
  <c r="S7" i="54"/>
  <c r="N7" i="54"/>
  <c r="M7" i="54"/>
  <c r="G7" i="54"/>
  <c r="G32" i="55"/>
  <c r="AA7" i="55"/>
  <c r="V7" i="55"/>
  <c r="U7" i="55"/>
  <c r="G7" i="55"/>
  <c r="G7" i="56"/>
  <c r="W30" i="50"/>
  <c r="V30" i="50"/>
  <c r="G30" i="50"/>
  <c r="AB7" i="50"/>
  <c r="W7" i="50"/>
  <c r="V7" i="50"/>
  <c r="G7" i="50"/>
  <c r="S7" i="57"/>
  <c r="G7" i="57"/>
  <c r="N7" i="58"/>
  <c r="M7" i="58"/>
  <c r="G7" i="58"/>
  <c r="R7" i="59"/>
  <c r="M7" i="59"/>
  <c r="L7" i="59"/>
  <c r="G7" i="59"/>
  <c r="M7" i="74"/>
  <c r="L7" i="74"/>
  <c r="G7" i="74"/>
  <c r="R7" i="90"/>
  <c r="O7" i="90"/>
  <c r="M7" i="90"/>
  <c r="L7" i="90"/>
  <c r="G7" i="90"/>
  <c r="R7" i="60"/>
  <c r="M7" i="60"/>
  <c r="L7" i="60"/>
  <c r="G7" i="60"/>
  <c r="M7" i="61"/>
  <c r="L7" i="61"/>
  <c r="G7" i="61"/>
  <c r="G7" i="62"/>
  <c r="R7" i="64"/>
  <c r="M7" i="64"/>
  <c r="L7" i="64"/>
  <c r="G7" i="64"/>
  <c r="R7" i="63"/>
  <c r="M7" i="63"/>
  <c r="L7" i="63"/>
  <c r="G7" i="63"/>
  <c r="G7" i="68"/>
  <c r="R7" i="69"/>
  <c r="O7" i="69"/>
  <c r="M7" i="69"/>
  <c r="L7" i="69"/>
  <c r="G7" i="69"/>
  <c r="AB7" i="71"/>
  <c r="W7" i="71"/>
  <c r="V7" i="71"/>
  <c r="G7" i="71"/>
  <c r="R7" i="70"/>
  <c r="M7" i="70"/>
  <c r="L7" i="70"/>
  <c r="G7" i="70"/>
  <c r="AB7" i="73"/>
  <c r="W7" i="73"/>
  <c r="V7" i="73"/>
  <c r="G7" i="73"/>
  <c r="R7" i="41"/>
  <c r="M7" i="41"/>
  <c r="L7" i="41"/>
  <c r="G7" i="41"/>
  <c r="G7" i="42"/>
  <c r="G7" i="43"/>
  <c r="S7" i="44"/>
  <c r="N7" i="44"/>
  <c r="M7" i="44"/>
  <c r="G7" i="44"/>
  <c r="S7" i="45"/>
  <c r="N7" i="45"/>
  <c r="M7" i="45"/>
  <c r="G7" i="45"/>
  <c r="S7" i="79"/>
  <c r="N7" i="79"/>
  <c r="M7" i="79"/>
  <c r="G7" i="79"/>
  <c r="N7" i="46"/>
  <c r="M7" i="46"/>
  <c r="G7" i="46"/>
  <c r="Q7" i="47"/>
  <c r="G7" i="47"/>
  <c r="Q7" i="76"/>
  <c r="L7" i="76"/>
  <c r="K7" i="76"/>
  <c r="G7" i="76"/>
  <c r="S7" i="65"/>
  <c r="N7" i="65"/>
  <c r="M7" i="65"/>
  <c r="G7" i="65"/>
  <c r="W31" i="67"/>
  <c r="R31" i="67"/>
  <c r="Q31" i="67"/>
  <c r="G31" i="67"/>
  <c r="W7" i="67"/>
  <c r="R7" i="67"/>
  <c r="Q7" i="67"/>
  <c r="G7" i="67"/>
  <c r="S7" i="48"/>
  <c r="N7" i="48"/>
  <c r="M7" i="48"/>
  <c r="G7" i="48"/>
  <c r="G30" i="49"/>
  <c r="AA7" i="49"/>
  <c r="V7" i="49"/>
  <c r="U7" i="49"/>
  <c r="G7" i="49"/>
  <c r="AA53" i="82"/>
  <c r="V53" i="82"/>
  <c r="U53" i="82"/>
  <c r="G53" i="82"/>
  <c r="AA30" i="82"/>
  <c r="V30" i="82"/>
  <c r="U30" i="82"/>
  <c r="G30" i="82"/>
  <c r="AA7" i="82"/>
  <c r="V7" i="82"/>
  <c r="U7" i="82"/>
  <c r="G7" i="82"/>
  <c r="G53" i="31"/>
  <c r="G6" i="31"/>
  <c r="G6" i="27"/>
  <c r="U6" i="28"/>
  <c r="P6" i="28"/>
  <c r="O6" i="28"/>
  <c r="G6" i="28"/>
  <c r="N29" i="32"/>
  <c r="M29" i="32"/>
  <c r="G29" i="32"/>
  <c r="S6" i="32"/>
  <c r="P6" i="32"/>
  <c r="N6" i="32"/>
  <c r="M6" i="32"/>
  <c r="G6" i="32"/>
  <c r="R6" i="33"/>
  <c r="M6" i="33"/>
  <c r="L6" i="33"/>
  <c r="G6" i="33"/>
  <c r="R6" i="34"/>
  <c r="M6" i="34"/>
  <c r="L6" i="34"/>
  <c r="G6" i="34"/>
  <c r="R6" i="35"/>
  <c r="M6" i="35"/>
  <c r="L6" i="35"/>
  <c r="G6" i="35"/>
  <c r="R6" i="37"/>
  <c r="G6" i="37"/>
  <c r="R6" i="38"/>
  <c r="M6" i="38"/>
  <c r="L6" i="38"/>
  <c r="G6" i="38"/>
  <c r="S6" i="39"/>
  <c r="P6" i="39"/>
  <c r="N6" i="39"/>
  <c r="M6" i="39"/>
  <c r="G6" i="39"/>
  <c r="S6" i="40"/>
  <c r="P6" i="40"/>
  <c r="N6" i="40"/>
  <c r="M6" i="40"/>
  <c r="G6" i="40"/>
  <c r="S6" i="52"/>
  <c r="N6" i="52"/>
  <c r="M6" i="52"/>
  <c r="G6" i="52"/>
  <c r="S6" i="53"/>
  <c r="N6" i="53"/>
  <c r="M6" i="53"/>
  <c r="G6" i="53"/>
  <c r="S6" i="54"/>
  <c r="N6" i="54"/>
  <c r="M6" i="54"/>
  <c r="G6" i="54"/>
  <c r="G31" i="55"/>
  <c r="AA6" i="55"/>
  <c r="V6" i="55"/>
  <c r="U6" i="55"/>
  <c r="G6" i="55"/>
  <c r="G6" i="56"/>
  <c r="W29" i="50"/>
  <c r="V29" i="50"/>
  <c r="G29" i="50"/>
  <c r="AB6" i="50"/>
  <c r="W6" i="50"/>
  <c r="V6" i="50"/>
  <c r="G6" i="50"/>
  <c r="S6" i="57"/>
  <c r="G6" i="57"/>
  <c r="N6" i="58"/>
  <c r="M6" i="58"/>
  <c r="G6" i="58"/>
  <c r="R6" i="59"/>
  <c r="M6" i="59"/>
  <c r="L6" i="59"/>
  <c r="G6" i="59"/>
  <c r="M6" i="74"/>
  <c r="L6" i="74"/>
  <c r="G6" i="74"/>
  <c r="R6" i="90"/>
  <c r="O6" i="90"/>
  <c r="M6" i="90"/>
  <c r="L6" i="90"/>
  <c r="G6" i="90"/>
  <c r="R6" i="60"/>
  <c r="M6" i="60"/>
  <c r="L6" i="60"/>
  <c r="G6" i="60"/>
  <c r="O6" i="61"/>
  <c r="M6" i="61"/>
  <c r="L6" i="61"/>
  <c r="G6" i="61"/>
  <c r="O6" i="62"/>
  <c r="G6" i="62"/>
  <c r="R6" i="64"/>
  <c r="M6" i="64"/>
  <c r="L6" i="64"/>
  <c r="G6" i="64"/>
  <c r="R6" i="63"/>
  <c r="M6" i="63"/>
  <c r="L6" i="63"/>
  <c r="G6" i="63"/>
  <c r="G6" i="68"/>
  <c r="R6" i="69"/>
  <c r="O6" i="69"/>
  <c r="M6" i="69"/>
  <c r="L6" i="69"/>
  <c r="G6" i="69"/>
  <c r="AB6" i="71"/>
  <c r="W6" i="71"/>
  <c r="V6" i="71"/>
  <c r="G6" i="71"/>
  <c r="R6" i="70"/>
  <c r="M6" i="70"/>
  <c r="L6" i="70"/>
  <c r="G6" i="70"/>
  <c r="AB6" i="73"/>
  <c r="W6" i="73"/>
  <c r="V6" i="73"/>
  <c r="G6" i="73"/>
  <c r="R6" i="41"/>
  <c r="M6" i="41"/>
  <c r="L6" i="41"/>
  <c r="G6" i="41"/>
  <c r="G6" i="42"/>
  <c r="G6" i="43"/>
  <c r="S6" i="44"/>
  <c r="N6" i="44"/>
  <c r="M6" i="44"/>
  <c r="G6" i="44"/>
  <c r="S6" i="45"/>
  <c r="N6" i="45"/>
  <c r="M6" i="45"/>
  <c r="G6" i="45"/>
  <c r="S6" i="79"/>
  <c r="N6" i="79"/>
  <c r="M6" i="79"/>
  <c r="G6" i="79"/>
  <c r="N6" i="46"/>
  <c r="M6" i="46"/>
  <c r="G6" i="46"/>
  <c r="Q6" i="47"/>
  <c r="G6" i="47"/>
  <c r="Q6" i="76"/>
  <c r="L6" i="76"/>
  <c r="K6" i="76"/>
  <c r="G6" i="76"/>
  <c r="S6" i="65"/>
  <c r="N6" i="65"/>
  <c r="M6" i="65"/>
  <c r="G6" i="65"/>
  <c r="W30" i="67"/>
  <c r="R30" i="67"/>
  <c r="Q30" i="67"/>
  <c r="G30" i="67"/>
  <c r="W6" i="67"/>
  <c r="R6" i="67"/>
  <c r="Q6" i="67"/>
  <c r="G6" i="67"/>
  <c r="S6" i="48"/>
  <c r="N6" i="48"/>
  <c r="M6" i="48"/>
  <c r="G6" i="48"/>
  <c r="G29" i="49"/>
  <c r="AA6" i="49"/>
  <c r="V6" i="49"/>
  <c r="U6" i="49"/>
  <c r="G6" i="49"/>
  <c r="AA52" i="82"/>
  <c r="V52" i="82"/>
  <c r="U52" i="82"/>
  <c r="G52" i="82"/>
  <c r="AA29" i="82"/>
  <c r="V29" i="82"/>
  <c r="U29" i="82"/>
  <c r="G29" i="82"/>
  <c r="AA6" i="82"/>
  <c r="V6" i="82"/>
  <c r="U6" i="82"/>
  <c r="G6" i="82"/>
  <c r="N21" i="47"/>
  <c r="L21" i="47"/>
  <c r="K21" i="47"/>
  <c r="N20" i="47"/>
  <c r="L20" i="47"/>
  <c r="K20" i="47"/>
  <c r="N19" i="47"/>
  <c r="L19" i="47"/>
  <c r="K19" i="47"/>
  <c r="N18" i="47"/>
  <c r="L18" i="47"/>
  <c r="K18" i="47"/>
  <c r="N17" i="47"/>
  <c r="L17" i="47"/>
  <c r="K17" i="47"/>
  <c r="N16" i="47"/>
  <c r="L16" i="47"/>
  <c r="K16" i="47"/>
  <c r="N15" i="47"/>
  <c r="L15" i="47"/>
  <c r="K15" i="47"/>
  <c r="N14" i="47"/>
  <c r="L14" i="47"/>
  <c r="K14" i="47"/>
  <c r="N13" i="47"/>
  <c r="L13" i="47"/>
  <c r="K13" i="47"/>
  <c r="N12" i="47"/>
  <c r="L12" i="47"/>
  <c r="K12" i="47"/>
  <c r="N11" i="47"/>
  <c r="L11" i="47"/>
  <c r="K11" i="47"/>
  <c r="N10" i="47"/>
  <c r="L10" i="47"/>
  <c r="K10" i="47"/>
  <c r="N9" i="47"/>
  <c r="L9" i="47"/>
  <c r="K9" i="47"/>
  <c r="N8" i="47"/>
  <c r="L8" i="47"/>
  <c r="K8" i="47"/>
  <c r="N7" i="47"/>
  <c r="L7" i="47"/>
  <c r="K7" i="47"/>
  <c r="N6" i="47"/>
  <c r="L6" i="47"/>
  <c r="K6" i="47"/>
  <c r="V38" i="73"/>
  <c r="X38" i="73" s="1"/>
  <c r="Y38" i="73" s="1"/>
  <c r="W37" i="73"/>
  <c r="Z37" i="73" s="1"/>
  <c r="W36" i="73"/>
  <c r="Z36" i="73" s="1"/>
  <c r="W35" i="73"/>
  <c r="Z35" i="73" s="1"/>
  <c r="V44" i="73"/>
  <c r="X44" i="73" s="1"/>
  <c r="W43" i="73"/>
  <c r="Z43" i="73" s="1"/>
  <c r="V43" i="73"/>
  <c r="X43" i="73" s="1"/>
  <c r="Y43" i="73" s="1"/>
  <c r="W42" i="73"/>
  <c r="Z42" i="73" s="1"/>
  <c r="V42" i="73"/>
  <c r="X42" i="73" s="1"/>
  <c r="Y42" i="73" s="1"/>
  <c r="V41" i="73"/>
  <c r="X41" i="73" s="1"/>
  <c r="V40" i="73"/>
  <c r="X40" i="73" s="1"/>
  <c r="T31" i="73"/>
  <c r="T32" i="73" s="1"/>
  <c r="T33" i="73" s="1"/>
  <c r="T34" i="73" s="1"/>
  <c r="T35" i="73" s="1"/>
  <c r="T36" i="73" s="1"/>
  <c r="T37" i="73" s="1"/>
  <c r="T38" i="73" s="1"/>
  <c r="T39" i="73" s="1"/>
  <c r="T40" i="73" s="1"/>
  <c r="T41" i="73" s="1"/>
  <c r="T42" i="73" s="1"/>
  <c r="T43" i="73" s="1"/>
  <c r="T44" i="73" s="1"/>
  <c r="T30" i="73"/>
  <c r="V35" i="73"/>
  <c r="X35" i="73" s="1"/>
  <c r="V37" i="73"/>
  <c r="X37" i="73" s="1"/>
  <c r="W38" i="73"/>
  <c r="Z38" i="73" s="1"/>
  <c r="V39" i="73"/>
  <c r="X39" i="73" s="1"/>
  <c r="W39" i="73"/>
  <c r="Z39" i="73" s="1"/>
  <c r="W41" i="73"/>
  <c r="Z41" i="73" s="1"/>
  <c r="W44" i="73"/>
  <c r="Z44" i="73" s="1"/>
  <c r="U30" i="73"/>
  <c r="U31" i="73"/>
  <c r="U32" i="73"/>
  <c r="U33" i="73"/>
  <c r="U34" i="73"/>
  <c r="U35" i="73"/>
  <c r="U36" i="73"/>
  <c r="U37" i="73"/>
  <c r="U38" i="73"/>
  <c r="U39" i="73"/>
  <c r="U40" i="73"/>
  <c r="U41" i="73"/>
  <c r="U42" i="73"/>
  <c r="U43" i="73"/>
  <c r="U44" i="73"/>
  <c r="U29" i="73"/>
  <c r="C6" i="67" l="1"/>
  <c r="C6" i="45"/>
  <c r="C6" i="60"/>
  <c r="F6" i="56"/>
  <c r="C31" i="55"/>
  <c r="C6" i="37"/>
  <c r="C29" i="49"/>
  <c r="C6" i="63"/>
  <c r="C6" i="59"/>
  <c r="F6" i="50"/>
  <c r="C6" i="65"/>
  <c r="F6" i="35"/>
  <c r="C6" i="70"/>
  <c r="F6" i="54"/>
  <c r="Y40" i="73"/>
  <c r="C52" i="82"/>
  <c r="C6" i="49"/>
  <c r="C6" i="48"/>
  <c r="C6" i="46"/>
  <c r="C6" i="69"/>
  <c r="C6" i="68"/>
  <c r="C6" i="55"/>
  <c r="E6" i="68"/>
  <c r="C6" i="38"/>
  <c r="C6" i="47"/>
  <c r="C6" i="43"/>
  <c r="C6" i="41"/>
  <c r="C6" i="62"/>
  <c r="C29" i="50"/>
  <c r="C6" i="40"/>
  <c r="C6" i="39"/>
  <c r="C6" i="32"/>
  <c r="C29" i="32"/>
  <c r="C6" i="52"/>
  <c r="C6" i="33"/>
  <c r="Y41" i="73"/>
  <c r="AA41" i="73" s="1"/>
  <c r="AC41" i="73" s="1"/>
  <c r="M18" i="73" s="1"/>
  <c r="Y35" i="73"/>
  <c r="AA35" i="73" s="1"/>
  <c r="AC35" i="73" s="1"/>
  <c r="M12" i="73" s="1"/>
  <c r="Y39" i="73"/>
  <c r="AA39" i="73" s="1"/>
  <c r="AC39" i="73" s="1"/>
  <c r="M16" i="73" s="1"/>
  <c r="Y37" i="73"/>
  <c r="AA37" i="73" s="1"/>
  <c r="AC37" i="73" s="1"/>
  <c r="M14" i="73" s="1"/>
  <c r="AA40" i="73"/>
  <c r="AC40" i="73" s="1"/>
  <c r="M17" i="73" s="1"/>
  <c r="Y36" i="73"/>
  <c r="AA36" i="73" s="1"/>
  <c r="AC36" i="73" s="1"/>
  <c r="M13" i="73" s="1"/>
  <c r="Y44" i="73"/>
  <c r="AA44" i="73" s="1"/>
  <c r="AC44" i="73" s="1"/>
  <c r="M21" i="73" s="1"/>
  <c r="AA38" i="73"/>
  <c r="AC38" i="73" s="1"/>
  <c r="M15" i="73" s="1"/>
  <c r="AA42" i="73"/>
  <c r="AC42" i="73" s="1"/>
  <c r="M19" i="73" s="1"/>
  <c r="AA43" i="73"/>
  <c r="AC43" i="73" s="1"/>
  <c r="M20" i="73" s="1"/>
  <c r="Z7" i="73" l="1"/>
  <c r="Z8" i="73"/>
  <c r="Z9" i="73"/>
  <c r="Z10" i="73"/>
  <c r="Z11" i="73"/>
  <c r="Z12" i="73"/>
  <c r="Z13" i="73"/>
  <c r="Z14" i="73"/>
  <c r="Z15" i="73"/>
  <c r="Z16" i="73"/>
  <c r="Z17" i="73"/>
  <c r="Z18" i="73"/>
  <c r="Z19" i="73"/>
  <c r="Z20" i="73"/>
  <c r="Z21" i="73"/>
  <c r="Z6" i="73"/>
  <c r="X21" i="73"/>
  <c r="Y21" i="73" s="1"/>
  <c r="U21" i="73"/>
  <c r="X20" i="73"/>
  <c r="Y20" i="73" s="1"/>
  <c r="U20" i="73"/>
  <c r="X19" i="73"/>
  <c r="Y19" i="73" s="1"/>
  <c r="U19" i="73"/>
  <c r="X18" i="73"/>
  <c r="Y18" i="73" s="1"/>
  <c r="AA18" i="73" s="1"/>
  <c r="U18" i="73"/>
  <c r="X17" i="73"/>
  <c r="Y17" i="73" s="1"/>
  <c r="U17" i="73"/>
  <c r="X16" i="73"/>
  <c r="Y16" i="73" s="1"/>
  <c r="U16" i="73"/>
  <c r="X15" i="73"/>
  <c r="Y15" i="73" s="1"/>
  <c r="U15" i="73"/>
  <c r="X14" i="73"/>
  <c r="Y14" i="73" s="1"/>
  <c r="U14" i="73"/>
  <c r="X13" i="73"/>
  <c r="Y13" i="73" s="1"/>
  <c r="U13" i="73"/>
  <c r="X12" i="73"/>
  <c r="Y12" i="73" s="1"/>
  <c r="U12" i="73"/>
  <c r="X11" i="73"/>
  <c r="Y11" i="73" s="1"/>
  <c r="U11" i="73"/>
  <c r="X10" i="73"/>
  <c r="Y10" i="73" s="1"/>
  <c r="AA10" i="73" s="1"/>
  <c r="U10" i="73"/>
  <c r="X9" i="73"/>
  <c r="Y9" i="73" s="1"/>
  <c r="U9" i="73"/>
  <c r="X8" i="73"/>
  <c r="Y8" i="73" s="1"/>
  <c r="U8" i="73"/>
  <c r="X7" i="73"/>
  <c r="Y7" i="73" s="1"/>
  <c r="U7" i="73"/>
  <c r="X6" i="73"/>
  <c r="Y6" i="73" s="1"/>
  <c r="U6" i="73"/>
  <c r="P15" i="70"/>
  <c r="N15" i="70"/>
  <c r="P15" i="69"/>
  <c r="P15" i="64"/>
  <c r="N15" i="64"/>
  <c r="M15" i="62"/>
  <c r="P15" i="62" s="1"/>
  <c r="P14" i="70"/>
  <c r="N14" i="70"/>
  <c r="Z14" i="71"/>
  <c r="P14" i="69"/>
  <c r="P14" i="64"/>
  <c r="N14" i="64"/>
  <c r="M14" i="62"/>
  <c r="P14" i="62" s="1"/>
  <c r="L14" i="62"/>
  <c r="N14" i="62" s="1"/>
  <c r="P13" i="70"/>
  <c r="N13" i="70"/>
  <c r="X13" i="71"/>
  <c r="P13" i="69"/>
  <c r="N13" i="63"/>
  <c r="P13" i="64"/>
  <c r="N13" i="64"/>
  <c r="P13" i="61"/>
  <c r="N13" i="61"/>
  <c r="N13" i="60"/>
  <c r="P12" i="70"/>
  <c r="N12" i="70"/>
  <c r="Z12" i="71"/>
  <c r="P12" i="69"/>
  <c r="P12" i="63"/>
  <c r="N12" i="63"/>
  <c r="P12" i="64"/>
  <c r="N12" i="64"/>
  <c r="M12" i="62"/>
  <c r="P12" i="62" s="1"/>
  <c r="N12" i="61"/>
  <c r="P12" i="60"/>
  <c r="N12" i="60"/>
  <c r="P11" i="70"/>
  <c r="Z11" i="71"/>
  <c r="P11" i="69"/>
  <c r="P11" i="63"/>
  <c r="N11" i="63"/>
  <c r="P11" i="64"/>
  <c r="N11" i="64"/>
  <c r="M11" i="62"/>
  <c r="P11" i="62" s="1"/>
  <c r="L11" i="62"/>
  <c r="N11" i="62" s="1"/>
  <c r="N11" i="60"/>
  <c r="P10" i="70"/>
  <c r="N10" i="70"/>
  <c r="Z10" i="71"/>
  <c r="X10" i="71"/>
  <c r="P10" i="69"/>
  <c r="P10" i="63"/>
  <c r="N10" i="63"/>
  <c r="P10" i="64"/>
  <c r="N10" i="64"/>
  <c r="P10" i="61"/>
  <c r="N10" i="61"/>
  <c r="P10" i="60"/>
  <c r="N10" i="60"/>
  <c r="P9" i="70"/>
  <c r="N9" i="70"/>
  <c r="Z9" i="71"/>
  <c r="X9" i="71"/>
  <c r="P9" i="69"/>
  <c r="P9" i="63"/>
  <c r="N9" i="63"/>
  <c r="P9" i="64"/>
  <c r="N9" i="64"/>
  <c r="M9" i="62"/>
  <c r="P9" i="62" s="1"/>
  <c r="L9" i="62"/>
  <c r="N9" i="62" s="1"/>
  <c r="P9" i="60"/>
  <c r="N9" i="60"/>
  <c r="P8" i="70"/>
  <c r="N8" i="70"/>
  <c r="Z8" i="71"/>
  <c r="X8" i="71"/>
  <c r="P8" i="69"/>
  <c r="P8" i="63"/>
  <c r="N8" i="63"/>
  <c r="P8" i="64"/>
  <c r="N8" i="64"/>
  <c r="P8" i="61"/>
  <c r="L8" i="62"/>
  <c r="N8" i="62" s="1"/>
  <c r="P8" i="60"/>
  <c r="N8" i="60"/>
  <c r="P21" i="70"/>
  <c r="Z21" i="71"/>
  <c r="P21" i="69"/>
  <c r="P21" i="64"/>
  <c r="N21" i="64"/>
  <c r="M21" i="62"/>
  <c r="P21" i="62" s="1"/>
  <c r="N20" i="70"/>
  <c r="Z20" i="71"/>
  <c r="X20" i="71"/>
  <c r="P20" i="69"/>
  <c r="N20" i="63"/>
  <c r="P20" i="64"/>
  <c r="N20" i="64"/>
  <c r="M20" i="62"/>
  <c r="P20" i="62" s="1"/>
  <c r="L20" i="62"/>
  <c r="N20" i="62" s="1"/>
  <c r="N20" i="60"/>
  <c r="P19" i="70"/>
  <c r="X19" i="71"/>
  <c r="P19" i="69"/>
  <c r="P19" i="63"/>
  <c r="N19" i="63"/>
  <c r="P19" i="64"/>
  <c r="N19" i="64"/>
  <c r="P19" i="61"/>
  <c r="N18" i="70"/>
  <c r="O18" i="70" s="1"/>
  <c r="Z18" i="71"/>
  <c r="X18" i="71"/>
  <c r="P18" i="69"/>
  <c r="P18" i="63"/>
  <c r="N18" i="63"/>
  <c r="P18" i="64"/>
  <c r="N18" i="64"/>
  <c r="P18" i="61"/>
  <c r="N18" i="61"/>
  <c r="P18" i="60"/>
  <c r="N18" i="60"/>
  <c r="P17" i="70"/>
  <c r="N17" i="70"/>
  <c r="Z17" i="71"/>
  <c r="X17" i="71"/>
  <c r="P17" i="69"/>
  <c r="P17" i="64"/>
  <c r="N17" i="64"/>
  <c r="P17" i="61"/>
  <c r="P17" i="60"/>
  <c r="P16" i="70"/>
  <c r="N16" i="70"/>
  <c r="X16" i="71"/>
  <c r="P16" i="69"/>
  <c r="P16" i="63"/>
  <c r="N16" i="63"/>
  <c r="P16" i="64"/>
  <c r="N16" i="64"/>
  <c r="M16" i="62"/>
  <c r="P16" i="62" s="1"/>
  <c r="N16" i="61"/>
  <c r="P16" i="60"/>
  <c r="N16" i="60"/>
  <c r="P7" i="70"/>
  <c r="N7" i="70"/>
  <c r="Z7" i="71"/>
  <c r="X7" i="71"/>
  <c r="P7" i="69"/>
  <c r="P7" i="63"/>
  <c r="N7" i="63"/>
  <c r="P7" i="64"/>
  <c r="N7" i="64"/>
  <c r="M7" i="62"/>
  <c r="P7" i="62" s="1"/>
  <c r="L7" i="62"/>
  <c r="N7" i="62" s="1"/>
  <c r="P7" i="60"/>
  <c r="N7" i="60"/>
  <c r="N21" i="70"/>
  <c r="N11" i="70"/>
  <c r="P20" i="70"/>
  <c r="P18" i="70"/>
  <c r="P6" i="70"/>
  <c r="N6" i="70"/>
  <c r="N19" i="70"/>
  <c r="K7" i="70"/>
  <c r="K8" i="70"/>
  <c r="K9" i="70"/>
  <c r="K10" i="70"/>
  <c r="K11" i="70"/>
  <c r="K12" i="70"/>
  <c r="K13" i="70"/>
  <c r="K14" i="70"/>
  <c r="K15" i="70"/>
  <c r="K16" i="70"/>
  <c r="K17" i="70"/>
  <c r="K18" i="70"/>
  <c r="K19" i="70"/>
  <c r="K20" i="70"/>
  <c r="K21" i="70"/>
  <c r="K6" i="70"/>
  <c r="Z19" i="71"/>
  <c r="Z16" i="71"/>
  <c r="Z15" i="71"/>
  <c r="Z13" i="71"/>
  <c r="X21" i="71"/>
  <c r="X14" i="71"/>
  <c r="Y14" i="71" s="1"/>
  <c r="X12" i="71"/>
  <c r="Y12" i="71" s="1"/>
  <c r="X15" i="71"/>
  <c r="Z6" i="71"/>
  <c r="X6" i="71"/>
  <c r="X11" i="71"/>
  <c r="P6" i="69"/>
  <c r="K21" i="69"/>
  <c r="K20" i="69"/>
  <c r="K19" i="69"/>
  <c r="K18" i="69"/>
  <c r="K17" i="69"/>
  <c r="K16" i="69"/>
  <c r="K15" i="69"/>
  <c r="K14" i="69"/>
  <c r="K13" i="69"/>
  <c r="K12" i="69"/>
  <c r="K11" i="69"/>
  <c r="K10" i="69"/>
  <c r="K9" i="69"/>
  <c r="K8" i="69"/>
  <c r="K7" i="69"/>
  <c r="K6" i="69"/>
  <c r="K7" i="68"/>
  <c r="K8" i="68"/>
  <c r="K9" i="68"/>
  <c r="K10" i="68"/>
  <c r="K11" i="68"/>
  <c r="K12" i="68"/>
  <c r="K13" i="68"/>
  <c r="K14" i="68"/>
  <c r="K15" i="68"/>
  <c r="K16" i="68"/>
  <c r="K17" i="68"/>
  <c r="K18" i="68"/>
  <c r="K19" i="68"/>
  <c r="K20" i="68"/>
  <c r="K21" i="68"/>
  <c r="K6" i="68"/>
  <c r="N6" i="63"/>
  <c r="P6" i="63"/>
  <c r="P20" i="63"/>
  <c r="P17" i="63"/>
  <c r="P15" i="63"/>
  <c r="P14" i="63"/>
  <c r="N21" i="63"/>
  <c r="N15" i="63"/>
  <c r="N14" i="63"/>
  <c r="P13" i="63"/>
  <c r="P21" i="63"/>
  <c r="N17" i="63"/>
  <c r="P6" i="64"/>
  <c r="N6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K8" i="64"/>
  <c r="K7" i="64"/>
  <c r="K6" i="64"/>
  <c r="L13" i="62"/>
  <c r="N13" i="62" s="1"/>
  <c r="L15" i="62"/>
  <c r="N15" i="62" s="1"/>
  <c r="L17" i="62"/>
  <c r="N17" i="62" s="1"/>
  <c r="L18" i="62"/>
  <c r="N18" i="62" s="1"/>
  <c r="M18" i="62"/>
  <c r="P18" i="62" s="1"/>
  <c r="L19" i="62"/>
  <c r="N19" i="62" s="1"/>
  <c r="L21" i="62"/>
  <c r="N21" i="62" s="1"/>
  <c r="K7" i="62"/>
  <c r="K8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6" i="62"/>
  <c r="P21" i="61"/>
  <c r="P20" i="61"/>
  <c r="P15" i="61"/>
  <c r="N8" i="61"/>
  <c r="N15" i="61"/>
  <c r="N17" i="61"/>
  <c r="N19" i="61"/>
  <c r="N21" i="61"/>
  <c r="P6" i="61"/>
  <c r="L6" i="62"/>
  <c r="N11" i="61"/>
  <c r="K7" i="61"/>
  <c r="K8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6" i="61"/>
  <c r="N21" i="60"/>
  <c r="N19" i="60"/>
  <c r="O19" i="60" s="1"/>
  <c r="N17" i="60"/>
  <c r="N15" i="60"/>
  <c r="N14" i="60"/>
  <c r="P21" i="60"/>
  <c r="P20" i="60"/>
  <c r="P19" i="60"/>
  <c r="P15" i="60"/>
  <c r="P14" i="60"/>
  <c r="P13" i="60"/>
  <c r="P11" i="60"/>
  <c r="P6" i="60"/>
  <c r="N6" i="60"/>
  <c r="K7" i="60"/>
  <c r="K8" i="60"/>
  <c r="K9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6" i="60"/>
  <c r="AA17" i="73" l="1"/>
  <c r="M19" i="62"/>
  <c r="P19" i="62" s="1"/>
  <c r="AA20" i="73"/>
  <c r="AC20" i="73" s="1"/>
  <c r="O20" i="60"/>
  <c r="Q20" i="60" s="1"/>
  <c r="S20" i="60" s="1"/>
  <c r="Y21" i="71"/>
  <c r="AA21" i="71" s="1"/>
  <c r="AC21" i="71" s="1"/>
  <c r="O20" i="62"/>
  <c r="Q20" i="62" s="1"/>
  <c r="S20" i="62" s="1"/>
  <c r="O18" i="62"/>
  <c r="Q18" i="62" s="1"/>
  <c r="S18" i="62" s="1"/>
  <c r="P16" i="61"/>
  <c r="Y16" i="71"/>
  <c r="AA16" i="71" s="1"/>
  <c r="AC16" i="71" s="1"/>
  <c r="M17" i="62"/>
  <c r="P17" i="62" s="1"/>
  <c r="O18" i="64"/>
  <c r="M8" i="62"/>
  <c r="P8" i="62" s="1"/>
  <c r="N14" i="61"/>
  <c r="L16" i="62"/>
  <c r="N16" i="62" s="1"/>
  <c r="O16" i="62" s="1"/>
  <c r="Q16" i="62" s="1"/>
  <c r="S16" i="62" s="1"/>
  <c r="P14" i="61"/>
  <c r="M13" i="62"/>
  <c r="P13" i="62" s="1"/>
  <c r="O14" i="70"/>
  <c r="Q14" i="70" s="1"/>
  <c r="S14" i="70" s="1"/>
  <c r="L12" i="62"/>
  <c r="N12" i="62" s="1"/>
  <c r="O12" i="62" s="1"/>
  <c r="Q12" i="62" s="1"/>
  <c r="S12" i="62" s="1"/>
  <c r="O13" i="70"/>
  <c r="Q13" i="70" s="1"/>
  <c r="S13" i="70" s="1"/>
  <c r="O14" i="62"/>
  <c r="Q14" i="62" s="1"/>
  <c r="S14" i="62" s="1"/>
  <c r="P12" i="61"/>
  <c r="L10" i="62"/>
  <c r="N10" i="62" s="1"/>
  <c r="O7" i="70"/>
  <c r="Q7" i="70" s="1"/>
  <c r="S7" i="70" s="1"/>
  <c r="O9" i="62"/>
  <c r="Q9" i="62" s="1"/>
  <c r="S9" i="62" s="1"/>
  <c r="P11" i="61"/>
  <c r="Y8" i="71"/>
  <c r="AA8" i="71" s="1"/>
  <c r="AC8" i="71" s="1"/>
  <c r="O8" i="60"/>
  <c r="Q8" i="60" s="1"/>
  <c r="S8" i="60" s="1"/>
  <c r="N7" i="61"/>
  <c r="O7" i="61" s="1"/>
  <c r="M10" i="62"/>
  <c r="P10" i="62" s="1"/>
  <c r="O11" i="62"/>
  <c r="Q11" i="62" s="1"/>
  <c r="S11" i="62" s="1"/>
  <c r="N9" i="61"/>
  <c r="O9" i="61" s="1"/>
  <c r="Y6" i="71"/>
  <c r="AA6" i="71" s="1"/>
  <c r="AC6" i="71" s="1"/>
  <c r="P9" i="61"/>
  <c r="O8" i="64"/>
  <c r="Q8" i="64" s="1"/>
  <c r="S8" i="64" s="1"/>
  <c r="O6" i="64"/>
  <c r="Q6" i="64" s="1"/>
  <c r="S6" i="64" s="1"/>
  <c r="AA12" i="73"/>
  <c r="AC12" i="73" s="1"/>
  <c r="AA9" i="73"/>
  <c r="AC9" i="73" s="1"/>
  <c r="AC10" i="73"/>
  <c r="AC18" i="73"/>
  <c r="AA15" i="73"/>
  <c r="AC15" i="73" s="1"/>
  <c r="AA7" i="73"/>
  <c r="AC7" i="73" s="1"/>
  <c r="AA21" i="73"/>
  <c r="AC21" i="73" s="1"/>
  <c r="AA6" i="73"/>
  <c r="AC6" i="73" s="1"/>
  <c r="AC17" i="73"/>
  <c r="AA16" i="73"/>
  <c r="AC16" i="73" s="1"/>
  <c r="AA11" i="73"/>
  <c r="AC11" i="73" s="1"/>
  <c r="AA8" i="73"/>
  <c r="AC8" i="73" s="1"/>
  <c r="AA14" i="73"/>
  <c r="AC14" i="73" s="1"/>
  <c r="AA19" i="73"/>
  <c r="AC19" i="73" s="1"/>
  <c r="AA13" i="73"/>
  <c r="AC13" i="73" s="1"/>
  <c r="O15" i="61"/>
  <c r="Q15" i="61" s="1"/>
  <c r="S15" i="61" s="1"/>
  <c r="N20" i="61"/>
  <c r="O20" i="61" s="1"/>
  <c r="Q20" i="61" s="1"/>
  <c r="S20" i="61" s="1"/>
  <c r="M6" i="62"/>
  <c r="P6" i="62" s="1"/>
  <c r="Q6" i="62" s="1"/>
  <c r="S6" i="62" s="1"/>
  <c r="O21" i="62"/>
  <c r="Q21" i="62" s="1"/>
  <c r="S21" i="62" s="1"/>
  <c r="O15" i="62"/>
  <c r="Q15" i="62" s="1"/>
  <c r="S15" i="62" s="1"/>
  <c r="O13" i="62"/>
  <c r="O12" i="70"/>
  <c r="Q12" i="70" s="1"/>
  <c r="S12" i="70" s="1"/>
  <c r="O19" i="62"/>
  <c r="Q19" i="62" s="1"/>
  <c r="S19" i="62" s="1"/>
  <c r="O7" i="62"/>
  <c r="Q7" i="62" s="1"/>
  <c r="S7" i="62" s="1"/>
  <c r="P7" i="61"/>
  <c r="O21" i="70"/>
  <c r="Q21" i="70" s="1"/>
  <c r="S21" i="70" s="1"/>
  <c r="O20" i="70"/>
  <c r="Q20" i="70" s="1"/>
  <c r="S20" i="70" s="1"/>
  <c r="O19" i="70"/>
  <c r="Q19" i="70" s="1"/>
  <c r="S19" i="70" s="1"/>
  <c r="O17" i="70"/>
  <c r="Q17" i="70" s="1"/>
  <c r="S17" i="70" s="1"/>
  <c r="O16" i="70"/>
  <c r="Q16" i="70" s="1"/>
  <c r="S16" i="70" s="1"/>
  <c r="O15" i="70"/>
  <c r="Q15" i="70" s="1"/>
  <c r="S15" i="70" s="1"/>
  <c r="O11" i="70"/>
  <c r="Q11" i="70" s="1"/>
  <c r="S11" i="70" s="1"/>
  <c r="O10" i="70"/>
  <c r="Q10" i="70" s="1"/>
  <c r="S10" i="70" s="1"/>
  <c r="O9" i="70"/>
  <c r="Q9" i="70" s="1"/>
  <c r="S9" i="70" s="1"/>
  <c r="O8" i="70"/>
  <c r="Q8" i="70" s="1"/>
  <c r="S8" i="70" s="1"/>
  <c r="O6" i="70"/>
  <c r="Q6" i="70" s="1"/>
  <c r="S6" i="70" s="1"/>
  <c r="Q18" i="70"/>
  <c r="S18" i="70" s="1"/>
  <c r="Y20" i="71"/>
  <c r="AA20" i="71" s="1"/>
  <c r="AC20" i="71" s="1"/>
  <c r="Y19" i="71"/>
  <c r="AA19" i="71" s="1"/>
  <c r="AC19" i="71" s="1"/>
  <c r="Y18" i="71"/>
  <c r="AA18" i="71" s="1"/>
  <c r="AC18" i="71" s="1"/>
  <c r="Y17" i="71"/>
  <c r="Y15" i="71"/>
  <c r="AA15" i="71" s="1"/>
  <c r="AC15" i="71" s="1"/>
  <c r="Y13" i="71"/>
  <c r="AA13" i="71" s="1"/>
  <c r="AC13" i="71" s="1"/>
  <c r="Y11" i="71"/>
  <c r="AA11" i="71" s="1"/>
  <c r="AC11" i="71" s="1"/>
  <c r="Y10" i="71"/>
  <c r="AA10" i="71" s="1"/>
  <c r="AC10" i="71" s="1"/>
  <c r="Y9" i="71"/>
  <c r="AA9" i="71" s="1"/>
  <c r="AC9" i="71" s="1"/>
  <c r="Y7" i="71"/>
  <c r="AA7" i="71" s="1"/>
  <c r="AC7" i="71" s="1"/>
  <c r="AA17" i="71"/>
  <c r="AC17" i="71" s="1"/>
  <c r="AA14" i="71"/>
  <c r="AC14" i="71" s="1"/>
  <c r="AA12" i="71"/>
  <c r="AC12" i="71" s="1"/>
  <c r="Q10" i="69"/>
  <c r="S10" i="69" s="1"/>
  <c r="Q6" i="69"/>
  <c r="S6" i="69" s="1"/>
  <c r="Q14" i="69"/>
  <c r="S14" i="69" s="1"/>
  <c r="Q18" i="69"/>
  <c r="S18" i="69" s="1"/>
  <c r="Q7" i="69"/>
  <c r="S7" i="69" s="1"/>
  <c r="Q11" i="69"/>
  <c r="S11" i="69" s="1"/>
  <c r="Q15" i="69"/>
  <c r="S15" i="69" s="1"/>
  <c r="Q19" i="69"/>
  <c r="S19" i="69" s="1"/>
  <c r="Q8" i="69"/>
  <c r="S8" i="69" s="1"/>
  <c r="Q12" i="69"/>
  <c r="S12" i="69" s="1"/>
  <c r="Q16" i="69"/>
  <c r="S16" i="69" s="1"/>
  <c r="Q20" i="69"/>
  <c r="S20" i="69" s="1"/>
  <c r="Q9" i="69"/>
  <c r="S9" i="69" s="1"/>
  <c r="Q13" i="69"/>
  <c r="S13" i="69" s="1"/>
  <c r="Q17" i="69"/>
  <c r="S17" i="69" s="1"/>
  <c r="Q21" i="69"/>
  <c r="S21" i="69" s="1"/>
  <c r="O20" i="63"/>
  <c r="Q20" i="63" s="1"/>
  <c r="S20" i="63" s="1"/>
  <c r="O18" i="63"/>
  <c r="Q18" i="63" s="1"/>
  <c r="S18" i="63" s="1"/>
  <c r="O16" i="63"/>
  <c r="Q16" i="63" s="1"/>
  <c r="S16" i="63" s="1"/>
  <c r="O14" i="63"/>
  <c r="Q14" i="63" s="1"/>
  <c r="S14" i="63" s="1"/>
  <c r="O12" i="63"/>
  <c r="Q12" i="63" s="1"/>
  <c r="S12" i="63" s="1"/>
  <c r="O9" i="63"/>
  <c r="Q9" i="63" s="1"/>
  <c r="S9" i="63" s="1"/>
  <c r="O8" i="63"/>
  <c r="Q8" i="63" s="1"/>
  <c r="S8" i="63" s="1"/>
  <c r="O7" i="63"/>
  <c r="Q7" i="63" s="1"/>
  <c r="S7" i="63" s="1"/>
  <c r="O15" i="63"/>
  <c r="Q15" i="63" s="1"/>
  <c r="S15" i="63" s="1"/>
  <c r="O10" i="63"/>
  <c r="Q10" i="63" s="1"/>
  <c r="S10" i="63" s="1"/>
  <c r="O17" i="63"/>
  <c r="Q17" i="63" s="1"/>
  <c r="S17" i="63" s="1"/>
  <c r="O11" i="63"/>
  <c r="Q11" i="63" s="1"/>
  <c r="S11" i="63" s="1"/>
  <c r="O19" i="63"/>
  <c r="Q19" i="63" s="1"/>
  <c r="S19" i="63" s="1"/>
  <c r="O13" i="63"/>
  <c r="Q13" i="63" s="1"/>
  <c r="S13" i="63" s="1"/>
  <c r="O21" i="63"/>
  <c r="Q21" i="63" s="1"/>
  <c r="S21" i="63" s="1"/>
  <c r="O6" i="63"/>
  <c r="Q6" i="63" s="1"/>
  <c r="S6" i="63" s="1"/>
  <c r="O20" i="64"/>
  <c r="Q20" i="64" s="1"/>
  <c r="S20" i="64" s="1"/>
  <c r="O19" i="64"/>
  <c r="Q19" i="64" s="1"/>
  <c r="S19" i="64" s="1"/>
  <c r="O17" i="64"/>
  <c r="Q17" i="64" s="1"/>
  <c r="S17" i="64" s="1"/>
  <c r="O16" i="64"/>
  <c r="Q16" i="64" s="1"/>
  <c r="S16" i="64" s="1"/>
  <c r="O12" i="64"/>
  <c r="Q12" i="64" s="1"/>
  <c r="S12" i="64" s="1"/>
  <c r="O11" i="64"/>
  <c r="Q11" i="64" s="1"/>
  <c r="S11" i="64" s="1"/>
  <c r="O10" i="64"/>
  <c r="Q10" i="64" s="1"/>
  <c r="S10" i="64" s="1"/>
  <c r="O9" i="64"/>
  <c r="Q9" i="64" s="1"/>
  <c r="S9" i="64" s="1"/>
  <c r="O7" i="64"/>
  <c r="Q7" i="64" s="1"/>
  <c r="S7" i="64" s="1"/>
  <c r="O13" i="64"/>
  <c r="Q13" i="64" s="1"/>
  <c r="S13" i="64" s="1"/>
  <c r="O15" i="64"/>
  <c r="Q15" i="64" s="1"/>
  <c r="S15" i="64" s="1"/>
  <c r="O21" i="64"/>
  <c r="Q21" i="64" s="1"/>
  <c r="S21" i="64" s="1"/>
  <c r="Q18" i="64"/>
  <c r="S18" i="64" s="1"/>
  <c r="O14" i="64"/>
  <c r="Q14" i="64" s="1"/>
  <c r="S14" i="64" s="1"/>
  <c r="O21" i="61"/>
  <c r="Q21" i="61" s="1"/>
  <c r="S21" i="61" s="1"/>
  <c r="O19" i="61"/>
  <c r="Q19" i="61" s="1"/>
  <c r="S19" i="61" s="1"/>
  <c r="O17" i="61"/>
  <c r="Q17" i="61" s="1"/>
  <c r="S17" i="61" s="1"/>
  <c r="O13" i="61"/>
  <c r="Q13" i="61" s="1"/>
  <c r="S13" i="61" s="1"/>
  <c r="O11" i="61"/>
  <c r="O8" i="61"/>
  <c r="Q8" i="61" s="1"/>
  <c r="S8" i="61" s="1"/>
  <c r="O12" i="61"/>
  <c r="O16" i="61"/>
  <c r="O10" i="61"/>
  <c r="Q10" i="61" s="1"/>
  <c r="S10" i="61" s="1"/>
  <c r="O14" i="61"/>
  <c r="O18" i="61"/>
  <c r="Q18" i="61" s="1"/>
  <c r="S18" i="61" s="1"/>
  <c r="Q6" i="61"/>
  <c r="S6" i="61" s="1"/>
  <c r="O21" i="60"/>
  <c r="Q21" i="60" s="1"/>
  <c r="S21" i="60" s="1"/>
  <c r="O17" i="60"/>
  <c r="Q17" i="60" s="1"/>
  <c r="S17" i="60" s="1"/>
  <c r="O16" i="60"/>
  <c r="Q16" i="60" s="1"/>
  <c r="S16" i="60" s="1"/>
  <c r="O15" i="60"/>
  <c r="Q15" i="60" s="1"/>
  <c r="S15" i="60" s="1"/>
  <c r="O13" i="60"/>
  <c r="Q13" i="60" s="1"/>
  <c r="S13" i="60" s="1"/>
  <c r="O12" i="60"/>
  <c r="Q12" i="60" s="1"/>
  <c r="S12" i="60" s="1"/>
  <c r="O11" i="60"/>
  <c r="Q11" i="60" s="1"/>
  <c r="S11" i="60" s="1"/>
  <c r="O9" i="60"/>
  <c r="Q9" i="60" s="1"/>
  <c r="S9" i="60" s="1"/>
  <c r="O7" i="60"/>
  <c r="Q7" i="60" s="1"/>
  <c r="S7" i="60" s="1"/>
  <c r="O14" i="60"/>
  <c r="Q14" i="60" s="1"/>
  <c r="S14" i="60" s="1"/>
  <c r="O10" i="60"/>
  <c r="Q10" i="60" s="1"/>
  <c r="S10" i="60" s="1"/>
  <c r="O18" i="60"/>
  <c r="Q18" i="60" s="1"/>
  <c r="S18" i="60" s="1"/>
  <c r="O6" i="60"/>
  <c r="Q6" i="60" s="1"/>
  <c r="S6" i="60" s="1"/>
  <c r="Q19" i="60"/>
  <c r="S19" i="60" s="1"/>
  <c r="Q16" i="61" l="1"/>
  <c r="S16" i="61" s="1"/>
  <c r="Q13" i="62"/>
  <c r="S13" i="62" s="1"/>
  <c r="Q14" i="61"/>
  <c r="S14" i="61" s="1"/>
  <c r="Q11" i="61"/>
  <c r="S11" i="61" s="1"/>
  <c r="O17" i="62"/>
  <c r="Q17" i="62" s="1"/>
  <c r="S17" i="62" s="1"/>
  <c r="O8" i="62"/>
  <c r="Q8" i="62" s="1"/>
  <c r="S8" i="62" s="1"/>
  <c r="Q12" i="61"/>
  <c r="S12" i="61" s="1"/>
  <c r="O10" i="62"/>
  <c r="Q10" i="62" s="1"/>
  <c r="S10" i="62" s="1"/>
  <c r="Q7" i="61"/>
  <c r="S7" i="61" s="1"/>
  <c r="Q9" i="61"/>
  <c r="S9" i="61" s="1"/>
  <c r="N15" i="90"/>
  <c r="X38" i="50"/>
  <c r="Z15" i="50"/>
  <c r="X15" i="50"/>
  <c r="AB38" i="50"/>
  <c r="Q15" i="54"/>
  <c r="O15" i="54"/>
  <c r="Q15" i="53"/>
  <c r="O15" i="53"/>
  <c r="P14" i="90"/>
  <c r="N14" i="90"/>
  <c r="P14" i="59"/>
  <c r="N14" i="59"/>
  <c r="Z37" i="50"/>
  <c r="Z14" i="50"/>
  <c r="X14" i="50"/>
  <c r="Y14" i="55"/>
  <c r="W14" i="55"/>
  <c r="Q14" i="54"/>
  <c r="O14" i="54"/>
  <c r="Q14" i="53"/>
  <c r="O14" i="53"/>
  <c r="Q14" i="52"/>
  <c r="O14" i="52"/>
  <c r="N13" i="90"/>
  <c r="N13" i="59"/>
  <c r="Z36" i="50"/>
  <c r="X36" i="50"/>
  <c r="W13" i="55"/>
  <c r="Q13" i="54"/>
  <c r="Q13" i="52"/>
  <c r="O13" i="52"/>
  <c r="V8" i="53"/>
  <c r="V8" i="54"/>
  <c r="AD8" i="55"/>
  <c r="AE8" i="50"/>
  <c r="U8" i="59"/>
  <c r="U8" i="60"/>
  <c r="V8" i="60" s="1"/>
  <c r="U8" i="61"/>
  <c r="V8" i="61" s="1"/>
  <c r="U8" i="62"/>
  <c r="V8" i="62" s="1"/>
  <c r="U8" i="64"/>
  <c r="V8" i="64" s="1"/>
  <c r="U8" i="63"/>
  <c r="V8" i="63" s="1"/>
  <c r="U8" i="69"/>
  <c r="V8" i="69" s="1"/>
  <c r="AE8" i="71"/>
  <c r="AF8" i="71" s="1"/>
  <c r="U8" i="70"/>
  <c r="V8" i="70" s="1"/>
  <c r="AE8" i="73"/>
  <c r="AF8" i="73" s="1"/>
  <c r="V9" i="53"/>
  <c r="V9" i="54"/>
  <c r="AD9" i="55"/>
  <c r="AE32" i="50"/>
  <c r="U9" i="59"/>
  <c r="U9" i="90"/>
  <c r="U9" i="60"/>
  <c r="V9" i="60" s="1"/>
  <c r="U9" i="61"/>
  <c r="U9" i="62"/>
  <c r="V9" i="62" s="1"/>
  <c r="U9" i="64"/>
  <c r="V9" i="64" s="1"/>
  <c r="U9" i="63"/>
  <c r="V9" i="63" s="1"/>
  <c r="U9" i="69"/>
  <c r="V9" i="69" s="1"/>
  <c r="AE9" i="71"/>
  <c r="AF9" i="71" s="1"/>
  <c r="U9" i="70"/>
  <c r="V9" i="70" s="1"/>
  <c r="AE9" i="73"/>
  <c r="AF9" i="73" s="1"/>
  <c r="V10" i="52"/>
  <c r="V10" i="53"/>
  <c r="V10" i="54"/>
  <c r="AE33" i="50"/>
  <c r="AE10" i="50"/>
  <c r="U10" i="59"/>
  <c r="U10" i="90"/>
  <c r="U10" i="60"/>
  <c r="V10" i="60" s="1"/>
  <c r="U10" i="61"/>
  <c r="V10" i="61" s="1"/>
  <c r="U10" i="62"/>
  <c r="V10" i="62" s="1"/>
  <c r="U10" i="64"/>
  <c r="V10" i="64" s="1"/>
  <c r="U10" i="63"/>
  <c r="V10" i="63" s="1"/>
  <c r="U10" i="69"/>
  <c r="V10" i="69" s="1"/>
  <c r="AE10" i="71"/>
  <c r="AF10" i="71" s="1"/>
  <c r="U10" i="70"/>
  <c r="V10" i="70" s="1"/>
  <c r="AE10" i="73"/>
  <c r="AF10" i="73" s="1"/>
  <c r="V11" i="52"/>
  <c r="V11" i="53"/>
  <c r="V11" i="54"/>
  <c r="AE34" i="50"/>
  <c r="AE11" i="50"/>
  <c r="U11" i="59"/>
  <c r="U11" i="60"/>
  <c r="V11" i="60" s="1"/>
  <c r="U11" i="61"/>
  <c r="U11" i="62"/>
  <c r="V11" i="62" s="1"/>
  <c r="U11" i="64"/>
  <c r="V11" i="64" s="1"/>
  <c r="U11" i="63"/>
  <c r="V11" i="63" s="1"/>
  <c r="U11" i="69"/>
  <c r="V11" i="69" s="1"/>
  <c r="AE11" i="71"/>
  <c r="AF11" i="71" s="1"/>
  <c r="U11" i="70"/>
  <c r="V11" i="70" s="1"/>
  <c r="AE11" i="73"/>
  <c r="AF11" i="73" s="1"/>
  <c r="V12" i="52"/>
  <c r="V12" i="53"/>
  <c r="V12" i="54"/>
  <c r="AD12" i="55"/>
  <c r="AE12" i="50"/>
  <c r="U12" i="59"/>
  <c r="U12" i="90"/>
  <c r="U12" i="60"/>
  <c r="V12" i="60" s="1"/>
  <c r="U12" i="61"/>
  <c r="V12" i="61" s="1"/>
  <c r="U12" i="62"/>
  <c r="V12" i="62" s="1"/>
  <c r="U12" i="64"/>
  <c r="V12" i="64" s="1"/>
  <c r="U12" i="63"/>
  <c r="V12" i="63" s="1"/>
  <c r="U12" i="69"/>
  <c r="V12" i="69" s="1"/>
  <c r="AE12" i="71"/>
  <c r="AF12" i="71" s="1"/>
  <c r="U12" i="70"/>
  <c r="V12" i="70" s="1"/>
  <c r="AE12" i="73"/>
  <c r="AF12" i="73" s="1"/>
  <c r="V13" i="53"/>
  <c r="V13" i="54"/>
  <c r="AD13" i="55"/>
  <c r="U13" i="59"/>
  <c r="U13" i="90"/>
  <c r="U13" i="60"/>
  <c r="V13" i="60" s="1"/>
  <c r="U13" i="61"/>
  <c r="V13" i="61" s="1"/>
  <c r="U13" i="62"/>
  <c r="V13" i="62" s="1"/>
  <c r="U13" i="64"/>
  <c r="V13" i="64" s="1"/>
  <c r="U13" i="63"/>
  <c r="V13" i="63" s="1"/>
  <c r="U13" i="69"/>
  <c r="V13" i="69" s="1"/>
  <c r="AE13" i="71"/>
  <c r="AF13" i="71" s="1"/>
  <c r="U13" i="70"/>
  <c r="V13" i="70" s="1"/>
  <c r="AE13" i="73"/>
  <c r="AF13" i="73" s="1"/>
  <c r="V14" i="53"/>
  <c r="V14" i="54"/>
  <c r="AD14" i="55"/>
  <c r="AE37" i="50"/>
  <c r="AE14" i="50"/>
  <c r="U14" i="59"/>
  <c r="U14" i="90"/>
  <c r="U14" i="60"/>
  <c r="V14" i="60" s="1"/>
  <c r="U14" i="61"/>
  <c r="V14" i="61" s="1"/>
  <c r="U14" i="62"/>
  <c r="V14" i="62" s="1"/>
  <c r="U14" i="64"/>
  <c r="V14" i="64" s="1"/>
  <c r="U14" i="63"/>
  <c r="V14" i="63" s="1"/>
  <c r="U14" i="69"/>
  <c r="V14" i="69" s="1"/>
  <c r="AE14" i="71"/>
  <c r="AF14" i="71" s="1"/>
  <c r="U14" i="70"/>
  <c r="V14" i="70" s="1"/>
  <c r="AE14" i="73"/>
  <c r="AF14" i="73" s="1"/>
  <c r="V15" i="52"/>
  <c r="V15" i="53"/>
  <c r="V15" i="54"/>
  <c r="AD15" i="55"/>
  <c r="AE38" i="50"/>
  <c r="AE15" i="50"/>
  <c r="U15" i="59"/>
  <c r="U15" i="90"/>
  <c r="U15" i="60"/>
  <c r="V15" i="60" s="1"/>
  <c r="U15" i="61"/>
  <c r="V15" i="61" s="1"/>
  <c r="U15" i="62"/>
  <c r="V15" i="62" s="1"/>
  <c r="U15" i="64"/>
  <c r="V15" i="64" s="1"/>
  <c r="U15" i="63"/>
  <c r="V15" i="63" s="1"/>
  <c r="U15" i="69"/>
  <c r="V15" i="69" s="1"/>
  <c r="AE15" i="71"/>
  <c r="AF15" i="71" s="1"/>
  <c r="U15" i="70"/>
  <c r="V15" i="70" s="1"/>
  <c r="AE15" i="73"/>
  <c r="AF15" i="73" s="1"/>
  <c r="V16" i="52"/>
  <c r="V16" i="53"/>
  <c r="V16" i="54"/>
  <c r="AE39" i="50"/>
  <c r="AE16" i="50"/>
  <c r="U16" i="59"/>
  <c r="U16" i="90"/>
  <c r="U16" i="60"/>
  <c r="V16" i="60" s="1"/>
  <c r="U16" i="61"/>
  <c r="V16" i="61" s="1"/>
  <c r="U16" i="62"/>
  <c r="V16" i="62" s="1"/>
  <c r="U16" i="64"/>
  <c r="V16" i="64" s="1"/>
  <c r="U16" i="63"/>
  <c r="V16" i="63" s="1"/>
  <c r="U16" i="69"/>
  <c r="V16" i="69" s="1"/>
  <c r="AE16" i="71"/>
  <c r="AF16" i="71" s="1"/>
  <c r="U16" i="70"/>
  <c r="V16" i="70" s="1"/>
  <c r="AE16" i="73"/>
  <c r="AF16" i="73" s="1"/>
  <c r="V17" i="52"/>
  <c r="V17" i="53"/>
  <c r="V17" i="54"/>
  <c r="AD17" i="55"/>
  <c r="AE40" i="50"/>
  <c r="AE17" i="50"/>
  <c r="U17" i="59"/>
  <c r="U17" i="90"/>
  <c r="U17" i="60"/>
  <c r="V17" i="60" s="1"/>
  <c r="U17" i="61"/>
  <c r="V17" i="61" s="1"/>
  <c r="U17" i="62"/>
  <c r="U17" i="64"/>
  <c r="V17" i="64" s="1"/>
  <c r="U17" i="63"/>
  <c r="V17" i="63" s="1"/>
  <c r="U17" i="69"/>
  <c r="V17" i="69" s="1"/>
  <c r="AE17" i="71"/>
  <c r="AF17" i="71" s="1"/>
  <c r="U17" i="70"/>
  <c r="V17" i="70" s="1"/>
  <c r="AE17" i="73"/>
  <c r="AF17" i="73" s="1"/>
  <c r="V18" i="52"/>
  <c r="V18" i="53"/>
  <c r="V18" i="54"/>
  <c r="AD18" i="55"/>
  <c r="AE41" i="50"/>
  <c r="AE18" i="50"/>
  <c r="U18" i="59"/>
  <c r="U18" i="60"/>
  <c r="V18" i="60" s="1"/>
  <c r="U18" i="61"/>
  <c r="V18" i="61" s="1"/>
  <c r="U18" i="62"/>
  <c r="V18" i="62" s="1"/>
  <c r="U18" i="64"/>
  <c r="V18" i="64" s="1"/>
  <c r="U18" i="63"/>
  <c r="V18" i="63" s="1"/>
  <c r="U18" i="69"/>
  <c r="V18" i="69" s="1"/>
  <c r="AE18" i="71"/>
  <c r="AF18" i="71" s="1"/>
  <c r="U18" i="70"/>
  <c r="V18" i="70" s="1"/>
  <c r="AE18" i="73"/>
  <c r="AF18" i="73" s="1"/>
  <c r="V19" i="52"/>
  <c r="V19" i="53"/>
  <c r="V19" i="54"/>
  <c r="AD19" i="55"/>
  <c r="AE42" i="50"/>
  <c r="AE19" i="50"/>
  <c r="U19" i="59"/>
  <c r="U19" i="90"/>
  <c r="U19" i="60"/>
  <c r="V19" i="60" s="1"/>
  <c r="U19" i="61"/>
  <c r="V19" i="61" s="1"/>
  <c r="U19" i="62"/>
  <c r="V19" i="62" s="1"/>
  <c r="U19" i="64"/>
  <c r="V19" i="64" s="1"/>
  <c r="U19" i="63"/>
  <c r="V19" i="63" s="1"/>
  <c r="U19" i="69"/>
  <c r="V19" i="69" s="1"/>
  <c r="AE19" i="71"/>
  <c r="AF19" i="71" s="1"/>
  <c r="U19" i="70"/>
  <c r="V19" i="70" s="1"/>
  <c r="AE19" i="73"/>
  <c r="AF19" i="73" s="1"/>
  <c r="P12" i="90"/>
  <c r="N12" i="90"/>
  <c r="P12" i="59"/>
  <c r="N12" i="59"/>
  <c r="Z35" i="50"/>
  <c r="X35" i="50"/>
  <c r="Z12" i="50"/>
  <c r="X12" i="50"/>
  <c r="AB35" i="50"/>
  <c r="Y12" i="55"/>
  <c r="W12" i="55"/>
  <c r="Q12" i="54"/>
  <c r="O12" i="54"/>
  <c r="Q12" i="53"/>
  <c r="O12" i="53"/>
  <c r="Q12" i="52"/>
  <c r="O12" i="52"/>
  <c r="P11" i="90"/>
  <c r="N11" i="90"/>
  <c r="P11" i="59"/>
  <c r="N11" i="59"/>
  <c r="Z34" i="50"/>
  <c r="X34" i="50"/>
  <c r="Z11" i="50"/>
  <c r="X11" i="50"/>
  <c r="AB34" i="50"/>
  <c r="Y11" i="55"/>
  <c r="Q11" i="54"/>
  <c r="O11" i="54"/>
  <c r="Q11" i="53"/>
  <c r="O11" i="53"/>
  <c r="Q11" i="52"/>
  <c r="O11" i="52"/>
  <c r="P10" i="90"/>
  <c r="N10" i="90"/>
  <c r="P10" i="59"/>
  <c r="N10" i="59"/>
  <c r="Z33" i="50"/>
  <c r="X33" i="50"/>
  <c r="Z10" i="50"/>
  <c r="X10" i="50"/>
  <c r="AB33" i="50"/>
  <c r="Y10" i="55"/>
  <c r="W10" i="55"/>
  <c r="Q10" i="54"/>
  <c r="O10" i="54"/>
  <c r="Q10" i="53"/>
  <c r="O10" i="53"/>
  <c r="Q10" i="52"/>
  <c r="O10" i="52"/>
  <c r="P9" i="90"/>
  <c r="N9" i="90"/>
  <c r="P9" i="59"/>
  <c r="N9" i="59"/>
  <c r="Z32" i="50"/>
  <c r="X32" i="50"/>
  <c r="Z9" i="50"/>
  <c r="X9" i="50"/>
  <c r="AB32" i="50"/>
  <c r="Y9" i="55"/>
  <c r="W9" i="55"/>
  <c r="Q9" i="54"/>
  <c r="O9" i="54"/>
  <c r="Q9" i="53"/>
  <c r="O9" i="53"/>
  <c r="Q9" i="52"/>
  <c r="O9" i="52"/>
  <c r="P8" i="90"/>
  <c r="N8" i="90"/>
  <c r="P8" i="59"/>
  <c r="N8" i="59"/>
  <c r="Z31" i="50"/>
  <c r="X31" i="50"/>
  <c r="Z8" i="50"/>
  <c r="X8" i="50"/>
  <c r="AB31" i="50"/>
  <c r="Y8" i="55"/>
  <c r="W8" i="55"/>
  <c r="Q8" i="54"/>
  <c r="O8" i="54"/>
  <c r="Q8" i="53"/>
  <c r="O8" i="53"/>
  <c r="Q8" i="52"/>
  <c r="O8" i="52"/>
  <c r="P21" i="90"/>
  <c r="N21" i="90"/>
  <c r="P21" i="59"/>
  <c r="N21" i="59"/>
  <c r="Z44" i="50"/>
  <c r="X44" i="50"/>
  <c r="Z21" i="50"/>
  <c r="X21" i="50"/>
  <c r="AB44" i="50"/>
  <c r="Y21" i="55"/>
  <c r="W21" i="55"/>
  <c r="Q21" i="54"/>
  <c r="O21" i="54"/>
  <c r="Q21" i="53"/>
  <c r="O21" i="53"/>
  <c r="O21" i="52"/>
  <c r="P20" i="90"/>
  <c r="N20" i="90"/>
  <c r="P20" i="59"/>
  <c r="N20" i="59"/>
  <c r="Z43" i="50"/>
  <c r="X43" i="50"/>
  <c r="Z20" i="50"/>
  <c r="X20" i="50"/>
  <c r="AB43" i="50"/>
  <c r="Y20" i="55"/>
  <c r="W20" i="55"/>
  <c r="Q20" i="54"/>
  <c r="O20" i="54"/>
  <c r="Q20" i="53"/>
  <c r="O20" i="53"/>
  <c r="Q20" i="52"/>
  <c r="O20" i="52"/>
  <c r="P19" i="90"/>
  <c r="N19" i="90"/>
  <c r="N19" i="59"/>
  <c r="Z42" i="50"/>
  <c r="X42" i="50"/>
  <c r="Z19" i="50"/>
  <c r="X19" i="50"/>
  <c r="AB42" i="50"/>
  <c r="Y19" i="55"/>
  <c r="W19" i="55"/>
  <c r="Q19" i="54"/>
  <c r="O19" i="54"/>
  <c r="Q19" i="53"/>
  <c r="O19" i="53"/>
  <c r="Q19" i="52"/>
  <c r="O19" i="52"/>
  <c r="P18" i="90"/>
  <c r="N18" i="90"/>
  <c r="P18" i="59"/>
  <c r="N18" i="59"/>
  <c r="Z41" i="50"/>
  <c r="X41" i="50"/>
  <c r="Z18" i="50"/>
  <c r="X18" i="50"/>
  <c r="AB41" i="50"/>
  <c r="Y18" i="55"/>
  <c r="W18" i="55"/>
  <c r="Q18" i="54"/>
  <c r="O18" i="54"/>
  <c r="Q18" i="53"/>
  <c r="O18" i="53"/>
  <c r="Q18" i="52"/>
  <c r="O18" i="52"/>
  <c r="P17" i="90"/>
  <c r="N17" i="90"/>
  <c r="P17" i="59"/>
  <c r="N17" i="59"/>
  <c r="Z40" i="50"/>
  <c r="X40" i="50"/>
  <c r="Z17" i="50"/>
  <c r="X17" i="50"/>
  <c r="AB40" i="50"/>
  <c r="Y17" i="55"/>
  <c r="W17" i="55"/>
  <c r="Q17" i="54"/>
  <c r="O17" i="54"/>
  <c r="Q17" i="53"/>
  <c r="O17" i="53"/>
  <c r="Q17" i="52"/>
  <c r="O17" i="52"/>
  <c r="V6" i="52"/>
  <c r="V6" i="53"/>
  <c r="V6" i="54"/>
  <c r="AD6" i="55"/>
  <c r="AE29" i="50"/>
  <c r="AE6" i="50"/>
  <c r="U6" i="59"/>
  <c r="U6" i="90"/>
  <c r="U6" i="60"/>
  <c r="V6" i="60" s="1"/>
  <c r="U6" i="61"/>
  <c r="V6" i="61" s="1"/>
  <c r="U6" i="62"/>
  <c r="V6" i="62" s="1"/>
  <c r="U6" i="64"/>
  <c r="V6" i="64" s="1"/>
  <c r="U6" i="63"/>
  <c r="V6" i="63" s="1"/>
  <c r="U6" i="69"/>
  <c r="V6" i="69" s="1"/>
  <c r="AE6" i="71"/>
  <c r="AF6" i="71" s="1"/>
  <c r="U6" i="70"/>
  <c r="V6" i="70" s="1"/>
  <c r="AE6" i="73"/>
  <c r="AF6" i="73" s="1"/>
  <c r="P16" i="90"/>
  <c r="N16" i="90"/>
  <c r="P16" i="59"/>
  <c r="N16" i="59"/>
  <c r="Z39" i="50"/>
  <c r="X39" i="50"/>
  <c r="Z16" i="50"/>
  <c r="X16" i="50"/>
  <c r="AB39" i="50"/>
  <c r="Y16" i="55"/>
  <c r="W16" i="55"/>
  <c r="Q16" i="54"/>
  <c r="O16" i="54"/>
  <c r="Q16" i="53"/>
  <c r="O16" i="53"/>
  <c r="Q16" i="52"/>
  <c r="O16" i="52"/>
  <c r="P7" i="90"/>
  <c r="N7" i="90"/>
  <c r="P7" i="59"/>
  <c r="N7" i="59"/>
  <c r="Z30" i="50"/>
  <c r="X30" i="50"/>
  <c r="Z7" i="50"/>
  <c r="X7" i="50"/>
  <c r="AB30" i="50"/>
  <c r="Y7" i="55"/>
  <c r="W7" i="55"/>
  <c r="Q7" i="54"/>
  <c r="O7" i="54"/>
  <c r="Q7" i="53"/>
  <c r="O7" i="53"/>
  <c r="Q7" i="52"/>
  <c r="O7" i="52"/>
  <c r="P15" i="90"/>
  <c r="P13" i="90"/>
  <c r="P6" i="90"/>
  <c r="N6" i="90"/>
  <c r="U8" i="90"/>
  <c r="U11" i="90"/>
  <c r="U18" i="90"/>
  <c r="K21" i="90"/>
  <c r="K20" i="90"/>
  <c r="K19" i="90"/>
  <c r="K18" i="90"/>
  <c r="K17" i="90"/>
  <c r="K16" i="90"/>
  <c r="K15" i="90"/>
  <c r="K14" i="90"/>
  <c r="K13" i="90"/>
  <c r="K12" i="90"/>
  <c r="K11" i="90"/>
  <c r="K10" i="90"/>
  <c r="K9" i="90"/>
  <c r="K8" i="90"/>
  <c r="K7" i="90"/>
  <c r="K6" i="90"/>
  <c r="P15" i="59"/>
  <c r="P13" i="59"/>
  <c r="N15" i="59"/>
  <c r="O15" i="59" s="1"/>
  <c r="P6" i="59"/>
  <c r="N6" i="59"/>
  <c r="K7" i="59"/>
  <c r="K8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6" i="59"/>
  <c r="P19" i="59"/>
  <c r="Z38" i="50"/>
  <c r="Z13" i="50"/>
  <c r="X13" i="50"/>
  <c r="AB37" i="50"/>
  <c r="AB36" i="50"/>
  <c r="X37" i="50"/>
  <c r="Z29" i="50"/>
  <c r="X29" i="50"/>
  <c r="U44" i="50"/>
  <c r="U43" i="50"/>
  <c r="U42" i="50"/>
  <c r="U41" i="50"/>
  <c r="U40" i="50"/>
  <c r="U39" i="50"/>
  <c r="U38" i="50"/>
  <c r="U37" i="50"/>
  <c r="AE36" i="50"/>
  <c r="U36" i="50"/>
  <c r="AE35" i="50"/>
  <c r="U35" i="50"/>
  <c r="U34" i="50"/>
  <c r="U33" i="50"/>
  <c r="U32" i="50"/>
  <c r="AE31" i="50"/>
  <c r="U31" i="50"/>
  <c r="U30" i="50"/>
  <c r="U29" i="50"/>
  <c r="Z6" i="50"/>
  <c r="X6" i="50"/>
  <c r="AB29" i="50"/>
  <c r="AE9" i="50"/>
  <c r="AE13" i="50"/>
  <c r="U7" i="50"/>
  <c r="U8" i="50"/>
  <c r="U9" i="50"/>
  <c r="U10" i="50"/>
  <c r="U11" i="50"/>
  <c r="U12" i="50"/>
  <c r="U13" i="50"/>
  <c r="U14" i="50"/>
  <c r="U15" i="50"/>
  <c r="U16" i="50"/>
  <c r="U17" i="50"/>
  <c r="U18" i="50"/>
  <c r="U19" i="50"/>
  <c r="U20" i="50"/>
  <c r="U21" i="50"/>
  <c r="U6" i="50"/>
  <c r="K7" i="56"/>
  <c r="K8" i="56"/>
  <c r="K9" i="56"/>
  <c r="K10" i="56"/>
  <c r="K11" i="56"/>
  <c r="K12" i="56"/>
  <c r="K13" i="56"/>
  <c r="K14" i="56"/>
  <c r="K15" i="56"/>
  <c r="K16" i="56"/>
  <c r="K17" i="56"/>
  <c r="K18" i="56"/>
  <c r="K19" i="56"/>
  <c r="K20" i="56"/>
  <c r="K21" i="56"/>
  <c r="K6" i="56"/>
  <c r="Y15" i="55"/>
  <c r="Y13" i="55"/>
  <c r="W15" i="55"/>
  <c r="W11" i="55"/>
  <c r="Y6" i="55"/>
  <c r="W6" i="55"/>
  <c r="AD10" i="55"/>
  <c r="AD11" i="55"/>
  <c r="AD16" i="55"/>
  <c r="T21" i="55"/>
  <c r="T19" i="55"/>
  <c r="T20" i="55"/>
  <c r="T7" i="55"/>
  <c r="T8" i="55"/>
  <c r="T9" i="55"/>
  <c r="T10" i="55"/>
  <c r="T11" i="55"/>
  <c r="T12" i="55"/>
  <c r="T13" i="55"/>
  <c r="T14" i="55"/>
  <c r="T15" i="55"/>
  <c r="T16" i="55"/>
  <c r="T17" i="55"/>
  <c r="T18" i="55"/>
  <c r="T6" i="55"/>
  <c r="O13" i="54"/>
  <c r="Q6" i="54"/>
  <c r="O6" i="54"/>
  <c r="L21" i="54"/>
  <c r="L20" i="54"/>
  <c r="L19" i="54"/>
  <c r="L18" i="54"/>
  <c r="L17" i="54"/>
  <c r="L16" i="54"/>
  <c r="L15" i="54"/>
  <c r="L14" i="54"/>
  <c r="L13" i="54"/>
  <c r="L12" i="54"/>
  <c r="L11" i="54"/>
  <c r="L10" i="54"/>
  <c r="L9" i="54"/>
  <c r="L8" i="54"/>
  <c r="L7" i="54"/>
  <c r="L6" i="54"/>
  <c r="Q13" i="53"/>
  <c r="O13" i="53"/>
  <c r="P13" i="53" s="1"/>
  <c r="Q6" i="53"/>
  <c r="O6" i="53"/>
  <c r="L21" i="53"/>
  <c r="L20" i="53"/>
  <c r="L19" i="53"/>
  <c r="L18" i="53"/>
  <c r="L17" i="53"/>
  <c r="L16" i="53"/>
  <c r="L15" i="53"/>
  <c r="L14" i="53"/>
  <c r="L13" i="53"/>
  <c r="L12" i="53"/>
  <c r="L11" i="53"/>
  <c r="L10" i="53"/>
  <c r="L9" i="53"/>
  <c r="L8" i="53"/>
  <c r="L7" i="53"/>
  <c r="L6" i="53"/>
  <c r="Q21" i="52"/>
  <c r="O15" i="52"/>
  <c r="P15" i="52" s="1"/>
  <c r="V8" i="52"/>
  <c r="V9" i="52"/>
  <c r="V13" i="52"/>
  <c r="V14" i="52"/>
  <c r="Q6" i="52"/>
  <c r="O6" i="52"/>
  <c r="Q15" i="52"/>
  <c r="L7" i="52"/>
  <c r="L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6" i="52"/>
  <c r="V21" i="52"/>
  <c r="V21" i="53"/>
  <c r="V21" i="54"/>
  <c r="AD21" i="55"/>
  <c r="AE44" i="50"/>
  <c r="AE21" i="50"/>
  <c r="U21" i="59"/>
  <c r="U21" i="90"/>
  <c r="U21" i="60"/>
  <c r="V21" i="60" s="1"/>
  <c r="U21" i="61"/>
  <c r="V21" i="61" s="1"/>
  <c r="U21" i="62"/>
  <c r="V21" i="62" s="1"/>
  <c r="U21" i="64"/>
  <c r="V21" i="64" s="1"/>
  <c r="U21" i="63"/>
  <c r="V21" i="63" s="1"/>
  <c r="U21" i="69"/>
  <c r="V21" i="69" s="1"/>
  <c r="AE21" i="71"/>
  <c r="AF21" i="71" s="1"/>
  <c r="U21" i="70"/>
  <c r="V21" i="70" s="1"/>
  <c r="AE21" i="73"/>
  <c r="AF21" i="73" s="1"/>
  <c r="V20" i="52"/>
  <c r="V20" i="53"/>
  <c r="V20" i="54"/>
  <c r="AD20" i="55"/>
  <c r="AE43" i="50"/>
  <c r="AE20" i="50"/>
  <c r="U20" i="59"/>
  <c r="U20" i="90"/>
  <c r="U20" i="60"/>
  <c r="V20" i="60" s="1"/>
  <c r="U20" i="61"/>
  <c r="V20" i="61" s="1"/>
  <c r="U20" i="62"/>
  <c r="V20" i="62" s="1"/>
  <c r="U20" i="64"/>
  <c r="V20" i="64" s="1"/>
  <c r="U20" i="63"/>
  <c r="V20" i="63" s="1"/>
  <c r="U20" i="69"/>
  <c r="V20" i="69" s="1"/>
  <c r="AE20" i="71"/>
  <c r="AF20" i="71" s="1"/>
  <c r="U20" i="70"/>
  <c r="V20" i="70" s="1"/>
  <c r="AE20" i="73"/>
  <c r="AF20" i="73" s="1"/>
  <c r="P9" i="41"/>
  <c r="N9" i="41"/>
  <c r="Q9" i="44"/>
  <c r="O9" i="44"/>
  <c r="P9" i="38"/>
  <c r="N9" i="38"/>
  <c r="P9" i="35"/>
  <c r="N9" i="35"/>
  <c r="P9" i="34"/>
  <c r="N9" i="34"/>
  <c r="P9" i="33"/>
  <c r="N9" i="33"/>
  <c r="Q9" i="45"/>
  <c r="Q9" i="79"/>
  <c r="O9" i="79"/>
  <c r="W32" i="82"/>
  <c r="Y9" i="82"/>
  <c r="W9" i="82"/>
  <c r="Y55" i="82"/>
  <c r="W55" i="82"/>
  <c r="Y9" i="49"/>
  <c r="W9" i="49"/>
  <c r="Q9" i="48"/>
  <c r="O9" i="48"/>
  <c r="U33" i="67"/>
  <c r="P8" i="41"/>
  <c r="N8" i="41"/>
  <c r="Q8" i="44"/>
  <c r="O8" i="44"/>
  <c r="Q8" i="40"/>
  <c r="P8" i="38"/>
  <c r="N8" i="38"/>
  <c r="P8" i="35"/>
  <c r="N8" i="35"/>
  <c r="P8" i="34"/>
  <c r="N8" i="34"/>
  <c r="P8" i="33"/>
  <c r="N8" i="33"/>
  <c r="Q8" i="45"/>
  <c r="O8" i="45"/>
  <c r="Q8" i="79"/>
  <c r="O8" i="79"/>
  <c r="Y31" i="82"/>
  <c r="W31" i="82"/>
  <c r="Y8" i="82"/>
  <c r="W8" i="82"/>
  <c r="Y54" i="82"/>
  <c r="W54" i="82"/>
  <c r="Y8" i="49"/>
  <c r="W8" i="49"/>
  <c r="Q8" i="48"/>
  <c r="U32" i="67"/>
  <c r="P21" i="41"/>
  <c r="N21" i="41"/>
  <c r="Q21" i="44"/>
  <c r="O21" i="44"/>
  <c r="P21" i="38"/>
  <c r="N21" i="38"/>
  <c r="P21" i="35"/>
  <c r="P21" i="34"/>
  <c r="N21" i="34"/>
  <c r="P21" i="33"/>
  <c r="N21" i="33"/>
  <c r="Q21" i="45"/>
  <c r="Q21" i="79"/>
  <c r="O21" i="79"/>
  <c r="Y44" i="82"/>
  <c r="W44" i="82"/>
  <c r="Y21" i="82"/>
  <c r="Y67" i="82"/>
  <c r="W67" i="82"/>
  <c r="Y21" i="49"/>
  <c r="Q21" i="48"/>
  <c r="O21" i="48"/>
  <c r="U45" i="67"/>
  <c r="P20" i="41"/>
  <c r="N20" i="41"/>
  <c r="O20" i="44"/>
  <c r="Q20" i="40"/>
  <c r="P20" i="38"/>
  <c r="N20" i="38"/>
  <c r="P20" i="35"/>
  <c r="N20" i="35"/>
  <c r="N20" i="34"/>
  <c r="P20" i="33"/>
  <c r="N20" i="33"/>
  <c r="Q20" i="45"/>
  <c r="O20" i="45"/>
  <c r="Q20" i="79"/>
  <c r="Y43" i="82"/>
  <c r="W43" i="82"/>
  <c r="Y20" i="82"/>
  <c r="W20" i="82"/>
  <c r="Y66" i="82"/>
  <c r="Y20" i="49"/>
  <c r="W20" i="49"/>
  <c r="Q20" i="48"/>
  <c r="O20" i="48"/>
  <c r="U44" i="67"/>
  <c r="P19" i="41"/>
  <c r="N19" i="41"/>
  <c r="Q19" i="44"/>
  <c r="O19" i="44"/>
  <c r="Q19" i="40"/>
  <c r="N19" i="38"/>
  <c r="P19" i="35"/>
  <c r="N19" i="35"/>
  <c r="P19" i="34"/>
  <c r="N19" i="34"/>
  <c r="P19" i="33"/>
  <c r="N19" i="33"/>
  <c r="Q19" i="45"/>
  <c r="Q19" i="79"/>
  <c r="O19" i="79"/>
  <c r="W42" i="82"/>
  <c r="Y19" i="82"/>
  <c r="W19" i="82"/>
  <c r="Y65" i="82"/>
  <c r="W65" i="82"/>
  <c r="Y19" i="49"/>
  <c r="Q19" i="48"/>
  <c r="O19" i="48"/>
  <c r="U43" i="67"/>
  <c r="P18" i="41"/>
  <c r="N18" i="41"/>
  <c r="O18" i="44"/>
  <c r="Q18" i="40"/>
  <c r="P18" i="38"/>
  <c r="N18" i="38"/>
  <c r="P18" i="35"/>
  <c r="N18" i="35"/>
  <c r="P18" i="34"/>
  <c r="N18" i="34"/>
  <c r="P18" i="33"/>
  <c r="N18" i="33"/>
  <c r="Q18" i="45"/>
  <c r="O18" i="45"/>
  <c r="Q18" i="79"/>
  <c r="O18" i="79"/>
  <c r="Y41" i="82"/>
  <c r="W41" i="82"/>
  <c r="Y18" i="82"/>
  <c r="Y64" i="82"/>
  <c r="Y18" i="49"/>
  <c r="W18" i="49"/>
  <c r="Q18" i="48"/>
  <c r="O18" i="48"/>
  <c r="U42" i="67"/>
  <c r="P17" i="41"/>
  <c r="N17" i="41"/>
  <c r="Q17" i="44"/>
  <c r="O17" i="44"/>
  <c r="Q17" i="40"/>
  <c r="P17" i="38"/>
  <c r="N17" i="38"/>
  <c r="P17" i="35"/>
  <c r="N17" i="35"/>
  <c r="P17" i="34"/>
  <c r="N17" i="34"/>
  <c r="N17" i="33"/>
  <c r="Q17" i="45"/>
  <c r="O17" i="45"/>
  <c r="Q17" i="79"/>
  <c r="O17" i="79"/>
  <c r="Y40" i="82"/>
  <c r="W40" i="82"/>
  <c r="Y17" i="82"/>
  <c r="W17" i="82"/>
  <c r="Y63" i="82"/>
  <c r="W63" i="82"/>
  <c r="Y17" i="49"/>
  <c r="W17" i="49"/>
  <c r="Q17" i="48"/>
  <c r="O17" i="48"/>
  <c r="U41" i="67"/>
  <c r="P16" i="41"/>
  <c r="N16" i="41"/>
  <c r="Q16" i="44"/>
  <c r="O16" i="44"/>
  <c r="Q16" i="40"/>
  <c r="P16" i="38"/>
  <c r="N16" i="38"/>
  <c r="P16" i="35"/>
  <c r="N16" i="35"/>
  <c r="P16" i="34"/>
  <c r="N16" i="34"/>
  <c r="P16" i="33"/>
  <c r="N16" i="33"/>
  <c r="Q16" i="45"/>
  <c r="O16" i="45"/>
  <c r="Q16" i="79"/>
  <c r="O16" i="79"/>
  <c r="Y39" i="82"/>
  <c r="W39" i="82"/>
  <c r="Y16" i="82"/>
  <c r="W16" i="82"/>
  <c r="Y62" i="82"/>
  <c r="W62" i="82"/>
  <c r="Y16" i="49"/>
  <c r="W16" i="49"/>
  <c r="Q16" i="48"/>
  <c r="O16" i="48"/>
  <c r="U40" i="67"/>
  <c r="P10" i="41"/>
  <c r="N10" i="41"/>
  <c r="Q10" i="44"/>
  <c r="O10" i="44"/>
  <c r="Q10" i="40"/>
  <c r="P10" i="38"/>
  <c r="N10" i="38"/>
  <c r="P10" i="35"/>
  <c r="N10" i="35"/>
  <c r="P10" i="34"/>
  <c r="N10" i="34"/>
  <c r="P10" i="33"/>
  <c r="N10" i="33"/>
  <c r="Q10" i="45"/>
  <c r="O10" i="45"/>
  <c r="Q10" i="79"/>
  <c r="O10" i="79"/>
  <c r="Y33" i="82"/>
  <c r="W33" i="82"/>
  <c r="Y10" i="82"/>
  <c r="W10" i="82"/>
  <c r="Y56" i="82"/>
  <c r="W56" i="82"/>
  <c r="Y10" i="49"/>
  <c r="W10" i="49"/>
  <c r="Q10" i="48"/>
  <c r="O10" i="48"/>
  <c r="U34" i="67"/>
  <c r="P11" i="41"/>
  <c r="N11" i="41"/>
  <c r="Q11" i="44"/>
  <c r="O11" i="44"/>
  <c r="Q11" i="40"/>
  <c r="P11" i="38"/>
  <c r="N11" i="38"/>
  <c r="P11" i="35"/>
  <c r="N11" i="35"/>
  <c r="P11" i="34"/>
  <c r="N11" i="34"/>
  <c r="P11" i="33"/>
  <c r="N11" i="33"/>
  <c r="Q11" i="45"/>
  <c r="O11" i="45"/>
  <c r="Q11" i="79"/>
  <c r="O11" i="79"/>
  <c r="Y34" i="82"/>
  <c r="W34" i="82"/>
  <c r="Y11" i="82"/>
  <c r="W11" i="82"/>
  <c r="Y57" i="82"/>
  <c r="W57" i="82"/>
  <c r="Y11" i="49"/>
  <c r="W11" i="49"/>
  <c r="Q11" i="48"/>
  <c r="O11" i="48"/>
  <c r="U35" i="67"/>
  <c r="V7" i="52"/>
  <c r="V7" i="53"/>
  <c r="V7" i="54"/>
  <c r="AD7" i="55"/>
  <c r="AE30" i="50"/>
  <c r="AE7" i="50"/>
  <c r="U7" i="59"/>
  <c r="U7" i="90"/>
  <c r="U7" i="60"/>
  <c r="V7" i="60" s="1"/>
  <c r="U7" i="61"/>
  <c r="U7" i="62"/>
  <c r="V7" i="62" s="1"/>
  <c r="U7" i="64"/>
  <c r="V7" i="64" s="1"/>
  <c r="U7" i="63"/>
  <c r="V7" i="63" s="1"/>
  <c r="U7" i="69"/>
  <c r="V7" i="69" s="1"/>
  <c r="AE7" i="71"/>
  <c r="AF7" i="71" s="1"/>
  <c r="U7" i="70"/>
  <c r="V7" i="70" s="1"/>
  <c r="AE7" i="73"/>
  <c r="AF7" i="73" s="1"/>
  <c r="P12" i="41"/>
  <c r="N12" i="41"/>
  <c r="Q12" i="44"/>
  <c r="O12" i="44"/>
  <c r="Q12" i="40"/>
  <c r="P12" i="38"/>
  <c r="N12" i="38"/>
  <c r="P12" i="35"/>
  <c r="N12" i="35"/>
  <c r="P12" i="34"/>
  <c r="N12" i="34"/>
  <c r="P12" i="33"/>
  <c r="N12" i="33"/>
  <c r="Q12" i="45"/>
  <c r="O12" i="45"/>
  <c r="Q12" i="79"/>
  <c r="O12" i="79"/>
  <c r="Y35" i="82"/>
  <c r="W35" i="82"/>
  <c r="Y12" i="82"/>
  <c r="W12" i="82"/>
  <c r="Y58" i="82"/>
  <c r="W58" i="82"/>
  <c r="Y12" i="49"/>
  <c r="W12" i="49"/>
  <c r="Q12" i="48"/>
  <c r="O12" i="48"/>
  <c r="U36" i="67"/>
  <c r="P13" i="41"/>
  <c r="N13" i="41"/>
  <c r="Q13" i="44"/>
  <c r="O13" i="44"/>
  <c r="Q13" i="40"/>
  <c r="P13" i="38"/>
  <c r="N13" i="38"/>
  <c r="P13" i="35"/>
  <c r="N13" i="35"/>
  <c r="P13" i="34"/>
  <c r="N13" i="34"/>
  <c r="P13" i="33"/>
  <c r="N13" i="33"/>
  <c r="Q13" i="45"/>
  <c r="O13" i="45"/>
  <c r="Q13" i="79"/>
  <c r="O13" i="79"/>
  <c r="Y36" i="82"/>
  <c r="W36" i="82"/>
  <c r="Y13" i="82"/>
  <c r="W13" i="82"/>
  <c r="Y59" i="82"/>
  <c r="W59" i="82"/>
  <c r="Y13" i="49"/>
  <c r="W13" i="49"/>
  <c r="Q13" i="48"/>
  <c r="O13" i="48"/>
  <c r="U37" i="67"/>
  <c r="P14" i="41"/>
  <c r="N14" i="41"/>
  <c r="Q14" i="44"/>
  <c r="O14" i="44"/>
  <c r="Q14" i="40"/>
  <c r="P14" i="38"/>
  <c r="N14" i="38"/>
  <c r="P14" i="35"/>
  <c r="N14" i="35"/>
  <c r="P14" i="34"/>
  <c r="N14" i="34"/>
  <c r="P14" i="33"/>
  <c r="N14" i="33"/>
  <c r="Q14" i="45"/>
  <c r="O14" i="45"/>
  <c r="Q14" i="79"/>
  <c r="O14" i="79"/>
  <c r="Y37" i="82"/>
  <c r="W37" i="82"/>
  <c r="Y14" i="82"/>
  <c r="W14" i="82"/>
  <c r="Y60" i="82"/>
  <c r="W60" i="82"/>
  <c r="Y14" i="49"/>
  <c r="W14" i="49"/>
  <c r="Q14" i="48"/>
  <c r="O14" i="48"/>
  <c r="U38" i="67"/>
  <c r="P15" i="41"/>
  <c r="N15" i="41"/>
  <c r="Q15" i="44"/>
  <c r="O15" i="44"/>
  <c r="Q15" i="40"/>
  <c r="P15" i="38"/>
  <c r="N15" i="38"/>
  <c r="P15" i="35"/>
  <c r="N15" i="35"/>
  <c r="P15" i="34"/>
  <c r="N15" i="34"/>
  <c r="P15" i="33"/>
  <c r="N15" i="33"/>
  <c r="Q15" i="45"/>
  <c r="O15" i="45"/>
  <c r="Q15" i="79"/>
  <c r="O15" i="79"/>
  <c r="Y38" i="82"/>
  <c r="W38" i="82"/>
  <c r="Y15" i="82"/>
  <c r="W15" i="82"/>
  <c r="Y61" i="82"/>
  <c r="W61" i="82"/>
  <c r="Y15" i="49"/>
  <c r="W15" i="49"/>
  <c r="Q15" i="48"/>
  <c r="O15" i="48"/>
  <c r="U39" i="67"/>
  <c r="P7" i="41"/>
  <c r="N7" i="41"/>
  <c r="Q7" i="44"/>
  <c r="O7" i="44"/>
  <c r="Q7" i="40"/>
  <c r="P7" i="38"/>
  <c r="N7" i="38"/>
  <c r="P7" i="35"/>
  <c r="N7" i="35"/>
  <c r="P7" i="34"/>
  <c r="N7" i="34"/>
  <c r="P7" i="33"/>
  <c r="N7" i="33"/>
  <c r="Q7" i="45"/>
  <c r="O7" i="45"/>
  <c r="Q7" i="79"/>
  <c r="O7" i="79"/>
  <c r="Y30" i="82"/>
  <c r="W30" i="82"/>
  <c r="Y7" i="82"/>
  <c r="W7" i="82"/>
  <c r="Y53" i="82"/>
  <c r="W53" i="82"/>
  <c r="Y7" i="49"/>
  <c r="W7" i="49"/>
  <c r="Q7" i="48"/>
  <c r="O7" i="48"/>
  <c r="U31" i="67"/>
  <c r="P6" i="41"/>
  <c r="N6" i="41"/>
  <c r="Q20" i="44"/>
  <c r="Q18" i="44"/>
  <c r="Q21" i="40"/>
  <c r="Q9" i="40"/>
  <c r="Q6" i="40"/>
  <c r="L21" i="40"/>
  <c r="L20" i="40"/>
  <c r="L19" i="40"/>
  <c r="L18" i="40"/>
  <c r="L17" i="40"/>
  <c r="L16" i="40"/>
  <c r="L15" i="40"/>
  <c r="L14" i="40"/>
  <c r="L13" i="40"/>
  <c r="L12" i="40"/>
  <c r="L11" i="40"/>
  <c r="L10" i="40"/>
  <c r="L9" i="40"/>
  <c r="L8" i="40"/>
  <c r="L7" i="40"/>
  <c r="L6" i="40"/>
  <c r="L7" i="39"/>
  <c r="L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6" i="39"/>
  <c r="P19" i="38"/>
  <c r="K21" i="38"/>
  <c r="K20" i="38"/>
  <c r="K19" i="38"/>
  <c r="K18" i="38"/>
  <c r="K17" i="38"/>
  <c r="K16" i="38"/>
  <c r="K15" i="38"/>
  <c r="K14" i="38"/>
  <c r="K13" i="38"/>
  <c r="K12" i="38"/>
  <c r="K11" i="38"/>
  <c r="K10" i="38"/>
  <c r="K9" i="38"/>
  <c r="K8" i="38"/>
  <c r="K7" i="38"/>
  <c r="P6" i="38"/>
  <c r="N6" i="38"/>
  <c r="K6" i="38"/>
  <c r="K7" i="37"/>
  <c r="K8" i="37"/>
  <c r="K9" i="37"/>
  <c r="K10" i="37"/>
  <c r="K11" i="37"/>
  <c r="K12" i="37"/>
  <c r="K13" i="37"/>
  <c r="K14" i="37"/>
  <c r="K15" i="37"/>
  <c r="K16" i="37"/>
  <c r="K17" i="37"/>
  <c r="K18" i="37"/>
  <c r="K19" i="37"/>
  <c r="K20" i="37"/>
  <c r="K21" i="37"/>
  <c r="K6" i="37"/>
  <c r="P6" i="35"/>
  <c r="N6" i="35"/>
  <c r="K7" i="35"/>
  <c r="K8" i="35"/>
  <c r="K9" i="35"/>
  <c r="K10" i="35"/>
  <c r="K11" i="35"/>
  <c r="K12" i="35"/>
  <c r="K13" i="35"/>
  <c r="K14" i="35"/>
  <c r="K15" i="35"/>
  <c r="K16" i="35"/>
  <c r="K17" i="35"/>
  <c r="K18" i="35"/>
  <c r="K19" i="35"/>
  <c r="K20" i="35"/>
  <c r="K21" i="35"/>
  <c r="K6" i="35"/>
  <c r="N21" i="35"/>
  <c r="P20" i="34"/>
  <c r="P6" i="34"/>
  <c r="N6" i="34"/>
  <c r="K7" i="34"/>
  <c r="K8" i="34"/>
  <c r="K9" i="34"/>
  <c r="K10" i="34"/>
  <c r="K11" i="34"/>
  <c r="K12" i="34"/>
  <c r="K13" i="34"/>
  <c r="K14" i="34"/>
  <c r="K15" i="34"/>
  <c r="K16" i="34"/>
  <c r="K17" i="34"/>
  <c r="K18" i="34"/>
  <c r="K19" i="34"/>
  <c r="K20" i="34"/>
  <c r="K21" i="34"/>
  <c r="K6" i="34"/>
  <c r="P17" i="33"/>
  <c r="P6" i="33"/>
  <c r="N6" i="33"/>
  <c r="K7" i="33"/>
  <c r="K8" i="33"/>
  <c r="K9" i="33"/>
  <c r="K10" i="33"/>
  <c r="K11" i="33"/>
  <c r="K12" i="33"/>
  <c r="K13" i="33"/>
  <c r="K14" i="33"/>
  <c r="K15" i="33"/>
  <c r="K16" i="33"/>
  <c r="K17" i="33"/>
  <c r="K18" i="33"/>
  <c r="K19" i="33"/>
  <c r="K20" i="33"/>
  <c r="K21" i="33"/>
  <c r="K6" i="33"/>
  <c r="L44" i="32"/>
  <c r="L43" i="32"/>
  <c r="L42" i="32"/>
  <c r="L41" i="32"/>
  <c r="L40" i="32"/>
  <c r="L39" i="32"/>
  <c r="L38" i="32"/>
  <c r="L37" i="32"/>
  <c r="L36" i="32"/>
  <c r="L35" i="32"/>
  <c r="L34" i="32"/>
  <c r="L33" i="32"/>
  <c r="L32" i="32"/>
  <c r="L31" i="32"/>
  <c r="L30" i="32"/>
  <c r="L29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6" i="32"/>
  <c r="N7" i="28"/>
  <c r="N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6" i="28"/>
  <c r="P21" i="57"/>
  <c r="P20" i="57"/>
  <c r="P19" i="57"/>
  <c r="P18" i="57"/>
  <c r="P17" i="57"/>
  <c r="P16" i="57"/>
  <c r="P15" i="57"/>
  <c r="P14" i="57"/>
  <c r="P13" i="57"/>
  <c r="P12" i="57"/>
  <c r="P11" i="57"/>
  <c r="P10" i="57"/>
  <c r="P9" i="57"/>
  <c r="P8" i="57"/>
  <c r="P7" i="57"/>
  <c r="P6" i="57"/>
  <c r="Q6" i="44"/>
  <c r="O6" i="44"/>
  <c r="O6" i="45"/>
  <c r="Q6" i="45"/>
  <c r="O9" i="45"/>
  <c r="O19" i="45"/>
  <c r="O21" i="45"/>
  <c r="O20" i="79"/>
  <c r="Q6" i="79"/>
  <c r="O6" i="79"/>
  <c r="Y42" i="82"/>
  <c r="Y32" i="82"/>
  <c r="W21" i="82"/>
  <c r="W18" i="82"/>
  <c r="Y6" i="82"/>
  <c r="W6" i="82"/>
  <c r="Y29" i="82"/>
  <c r="W29" i="82"/>
  <c r="W66" i="82"/>
  <c r="W64" i="82"/>
  <c r="Y52" i="82"/>
  <c r="W52" i="82"/>
  <c r="W21" i="49"/>
  <c r="W19" i="49"/>
  <c r="Y6" i="49"/>
  <c r="W6" i="49"/>
  <c r="O8" i="48"/>
  <c r="Q6" i="48"/>
  <c r="O6" i="48"/>
  <c r="V7" i="61" l="1"/>
  <c r="V17" i="62"/>
  <c r="V11" i="61"/>
  <c r="O14" i="59"/>
  <c r="V9" i="61"/>
  <c r="X12" i="82"/>
  <c r="X14" i="55"/>
  <c r="Z14" i="55" s="1"/>
  <c r="AB14" i="55" s="1"/>
  <c r="AE14" i="55" s="1"/>
  <c r="X13" i="55"/>
  <c r="Z13" i="55" s="1"/>
  <c r="AB13" i="55" s="1"/>
  <c r="AE13" i="55" s="1"/>
  <c r="O13" i="59"/>
  <c r="Y15" i="50"/>
  <c r="P13" i="44"/>
  <c r="R13" i="44" s="1"/>
  <c r="T13" i="44" s="1"/>
  <c r="P9" i="44"/>
  <c r="R9" i="44" s="1"/>
  <c r="T9" i="44" s="1"/>
  <c r="O12" i="35"/>
  <c r="Q12" i="35" s="1"/>
  <c r="S12" i="35" s="1"/>
  <c r="P12" i="45"/>
  <c r="R12" i="45" s="1"/>
  <c r="T12" i="45" s="1"/>
  <c r="P8" i="79"/>
  <c r="R8" i="79" s="1"/>
  <c r="T8" i="79" s="1"/>
  <c r="O11" i="59"/>
  <c r="Q11" i="59" s="1"/>
  <c r="S11" i="59" s="1"/>
  <c r="V11" i="59" s="1"/>
  <c r="P12" i="79"/>
  <c r="R12" i="79" s="1"/>
  <c r="T12" i="79" s="1"/>
  <c r="X11" i="55"/>
  <c r="Z11" i="55" s="1"/>
  <c r="AB11" i="55" s="1"/>
  <c r="AE11" i="55" s="1"/>
  <c r="O12" i="41"/>
  <c r="Q12" i="41" s="1"/>
  <c r="S12" i="41" s="1"/>
  <c r="Y9" i="50"/>
  <c r="AA9" i="50" s="1"/>
  <c r="AC9" i="50" s="1"/>
  <c r="AF9" i="50" s="1"/>
  <c r="X8" i="49"/>
  <c r="Z8" i="49" s="1"/>
  <c r="AB8" i="49" s="1"/>
  <c r="P8" i="44"/>
  <c r="R8" i="44" s="1"/>
  <c r="T8" i="44" s="1"/>
  <c r="O8" i="34"/>
  <c r="Q8" i="34" s="1"/>
  <c r="S8" i="34" s="1"/>
  <c r="P9" i="53"/>
  <c r="R9" i="53" s="1"/>
  <c r="T9" i="53" s="1"/>
  <c r="W9" i="53" s="1"/>
  <c r="P11" i="52"/>
  <c r="O11" i="41"/>
  <c r="Q11" i="41" s="1"/>
  <c r="S11" i="41" s="1"/>
  <c r="P13" i="52"/>
  <c r="R13" i="52" s="1"/>
  <c r="T13" i="52" s="1"/>
  <c r="W13" i="52" s="1"/>
  <c r="P15" i="53"/>
  <c r="R15" i="53" s="1"/>
  <c r="T15" i="53" s="1"/>
  <c r="W15" i="53" s="1"/>
  <c r="P11" i="44"/>
  <c r="Y33" i="50"/>
  <c r="AA33" i="50" s="1"/>
  <c r="AC33" i="50" s="1"/>
  <c r="O16" i="34"/>
  <c r="Q16" i="34" s="1"/>
  <c r="S16" i="34" s="1"/>
  <c r="P12" i="44"/>
  <c r="P11" i="53"/>
  <c r="R11" i="53" s="1"/>
  <c r="T11" i="53" s="1"/>
  <c r="W11" i="53" s="1"/>
  <c r="O9" i="38"/>
  <c r="Q9" i="38" s="1"/>
  <c r="S9" i="38" s="1"/>
  <c r="P12" i="53"/>
  <c r="R12" i="53" s="1"/>
  <c r="T12" i="53" s="1"/>
  <c r="W12" i="53" s="1"/>
  <c r="X12" i="55"/>
  <c r="Z12" i="55" s="1"/>
  <c r="AB12" i="55" s="1"/>
  <c r="AE12" i="55" s="1"/>
  <c r="O9" i="59"/>
  <c r="Q9" i="59" s="1"/>
  <c r="S9" i="59" s="1"/>
  <c r="V9" i="59" s="1"/>
  <c r="Y35" i="50"/>
  <c r="AA35" i="50" s="1"/>
  <c r="AC35" i="50" s="1"/>
  <c r="AF35" i="50" s="1"/>
  <c r="P8" i="53"/>
  <c r="R8" i="53" s="1"/>
  <c r="T8" i="53" s="1"/>
  <c r="W8" i="53" s="1"/>
  <c r="O11" i="34"/>
  <c r="Q11" i="34" s="1"/>
  <c r="S11" i="34" s="1"/>
  <c r="O11" i="38"/>
  <c r="Q11" i="38" s="1"/>
  <c r="S11" i="38" s="1"/>
  <c r="O12" i="59"/>
  <c r="Q12" i="59" s="1"/>
  <c r="S12" i="59" s="1"/>
  <c r="V12" i="59" s="1"/>
  <c r="O14" i="33"/>
  <c r="Q14" i="33" s="1"/>
  <c r="S14" i="33" s="1"/>
  <c r="O13" i="34"/>
  <c r="O13" i="38"/>
  <c r="Q13" i="38" s="1"/>
  <c r="S13" i="38" s="1"/>
  <c r="X17" i="55"/>
  <c r="Z17" i="55" s="1"/>
  <c r="AB17" i="55" s="1"/>
  <c r="AE17" i="55" s="1"/>
  <c r="O17" i="59"/>
  <c r="Q17" i="59" s="1"/>
  <c r="S17" i="59" s="1"/>
  <c r="V17" i="59" s="1"/>
  <c r="Y43" i="50"/>
  <c r="AA43" i="50" s="1"/>
  <c r="AC43" i="50" s="1"/>
  <c r="X21" i="55"/>
  <c r="Z21" i="55" s="1"/>
  <c r="AB21" i="55" s="1"/>
  <c r="AE21" i="55" s="1"/>
  <c r="O19" i="38"/>
  <c r="Y32" i="50"/>
  <c r="AA32" i="50" s="1"/>
  <c r="AC32" i="50" s="1"/>
  <c r="AF32" i="50" s="1"/>
  <c r="P17" i="53"/>
  <c r="R17" i="53" s="1"/>
  <c r="T17" i="53" s="1"/>
  <c r="W17" i="53" s="1"/>
  <c r="P16" i="48"/>
  <c r="R16" i="48" s="1"/>
  <c r="T16" i="48" s="1"/>
  <c r="O16" i="38"/>
  <c r="P15" i="45"/>
  <c r="R15" i="45" s="1"/>
  <c r="T15" i="45" s="1"/>
  <c r="X38" i="82"/>
  <c r="Z38" i="82" s="1"/>
  <c r="AB38" i="82" s="1"/>
  <c r="O15" i="33"/>
  <c r="Q15" i="33" s="1"/>
  <c r="S15" i="33" s="1"/>
  <c r="O14" i="34"/>
  <c r="Q14" i="34" s="1"/>
  <c r="S14" i="34" s="1"/>
  <c r="O14" i="38"/>
  <c r="X13" i="82"/>
  <c r="P16" i="45"/>
  <c r="P19" i="52"/>
  <c r="R19" i="52" s="1"/>
  <c r="T19" i="52" s="1"/>
  <c r="W19" i="52" s="1"/>
  <c r="P21" i="53"/>
  <c r="R21" i="53" s="1"/>
  <c r="T21" i="53" s="1"/>
  <c r="W21" i="53" s="1"/>
  <c r="X31" i="82"/>
  <c r="Z31" i="82" s="1"/>
  <c r="AB31" i="82" s="1"/>
  <c r="O8" i="33"/>
  <c r="Q8" i="33" s="1"/>
  <c r="S8" i="33" s="1"/>
  <c r="O15" i="41"/>
  <c r="Q15" i="41" s="1"/>
  <c r="S15" i="41" s="1"/>
  <c r="X16" i="55"/>
  <c r="P15" i="44"/>
  <c r="R15" i="44" s="1"/>
  <c r="T15" i="44" s="1"/>
  <c r="O14" i="41"/>
  <c r="Q14" i="41" s="1"/>
  <c r="S14" i="41" s="1"/>
  <c r="X62" i="82"/>
  <c r="Z62" i="82" s="1"/>
  <c r="AB62" i="82" s="1"/>
  <c r="P17" i="45"/>
  <c r="R17" i="45" s="1"/>
  <c r="T17" i="45" s="1"/>
  <c r="O17" i="35"/>
  <c r="Q17" i="35" s="1"/>
  <c r="S17" i="35" s="1"/>
  <c r="P18" i="79"/>
  <c r="R18" i="79" s="1"/>
  <c r="T18" i="79" s="1"/>
  <c r="X20" i="55"/>
  <c r="P15" i="48"/>
  <c r="R15" i="48" s="1"/>
  <c r="T15" i="48" s="1"/>
  <c r="O15" i="38"/>
  <c r="Q15" i="38" s="1"/>
  <c r="S15" i="38" s="1"/>
  <c r="Y38" i="50"/>
  <c r="AA38" i="50" s="1"/>
  <c r="AC38" i="50" s="1"/>
  <c r="P14" i="79"/>
  <c r="R14" i="79" s="1"/>
  <c r="T14" i="79" s="1"/>
  <c r="O21" i="33"/>
  <c r="Q21" i="33" s="1"/>
  <c r="S21" i="33" s="1"/>
  <c r="X60" i="82"/>
  <c r="Z60" i="82" s="1"/>
  <c r="AB60" i="82" s="1"/>
  <c r="X33" i="82"/>
  <c r="Z33" i="82" s="1"/>
  <c r="AB33" i="82" s="1"/>
  <c r="P17" i="52"/>
  <c r="R17" i="52" s="1"/>
  <c r="T17" i="52" s="1"/>
  <c r="W17" i="52" s="1"/>
  <c r="P16" i="44"/>
  <c r="R16" i="44" s="1"/>
  <c r="T16" i="44" s="1"/>
  <c r="O16" i="59"/>
  <c r="P17" i="44"/>
  <c r="R17" i="44" s="1"/>
  <c r="T17" i="44" s="1"/>
  <c r="P19" i="44"/>
  <c r="R19" i="44" s="1"/>
  <c r="T19" i="44" s="1"/>
  <c r="O18" i="38"/>
  <c r="Q18" i="38" s="1"/>
  <c r="S18" i="38" s="1"/>
  <c r="O10" i="33"/>
  <c r="Q10" i="33" s="1"/>
  <c r="S10" i="33" s="1"/>
  <c r="O19" i="41"/>
  <c r="Q19" i="41" s="1"/>
  <c r="S19" i="41" s="1"/>
  <c r="O17" i="34"/>
  <c r="Q17" i="34" s="1"/>
  <c r="S17" i="34" s="1"/>
  <c r="Y40" i="50"/>
  <c r="AA40" i="50" s="1"/>
  <c r="AC40" i="50" s="1"/>
  <c r="AF40" i="50" s="1"/>
  <c r="P10" i="52"/>
  <c r="R10" i="52" s="1"/>
  <c r="T10" i="52" s="1"/>
  <c r="W10" i="52" s="1"/>
  <c r="P7" i="53"/>
  <c r="R7" i="53" s="1"/>
  <c r="T7" i="53" s="1"/>
  <c r="W7" i="53" s="1"/>
  <c r="P18" i="53"/>
  <c r="R18" i="53" s="1"/>
  <c r="T18" i="53" s="1"/>
  <c r="W18" i="53" s="1"/>
  <c r="X20" i="82"/>
  <c r="Z20" i="82" s="1"/>
  <c r="AB20" i="82" s="1"/>
  <c r="P20" i="79"/>
  <c r="P18" i="45"/>
  <c r="P19" i="79"/>
  <c r="R19" i="79" s="1"/>
  <c r="T19" i="79" s="1"/>
  <c r="X67" i="82"/>
  <c r="Z67" i="82" s="1"/>
  <c r="AB67" i="82" s="1"/>
  <c r="O20" i="34"/>
  <c r="X18" i="55"/>
  <c r="Z18" i="55" s="1"/>
  <c r="AB18" i="55" s="1"/>
  <c r="AE18" i="55" s="1"/>
  <c r="P6" i="52"/>
  <c r="R6" i="52" s="1"/>
  <c r="T6" i="52" s="1"/>
  <c r="W6" i="52" s="1"/>
  <c r="Y42" i="50"/>
  <c r="AA42" i="50" s="1"/>
  <c r="AC42" i="50" s="1"/>
  <c r="Y29" i="50"/>
  <c r="AA29" i="50" s="1"/>
  <c r="O21" i="34"/>
  <c r="Q21" i="34" s="1"/>
  <c r="S21" i="34" s="1"/>
  <c r="P6" i="45"/>
  <c r="R6" i="45" s="1"/>
  <c r="T6" i="45" s="1"/>
  <c r="P6" i="48"/>
  <c r="R6" i="48" s="1"/>
  <c r="T6" i="48" s="1"/>
  <c r="O21" i="38"/>
  <c r="P7" i="44"/>
  <c r="R7" i="44" s="1"/>
  <c r="T7" i="44" s="1"/>
  <c r="X6" i="49"/>
  <c r="Z6" i="49" s="1"/>
  <c r="AB6" i="49" s="1"/>
  <c r="O7" i="34"/>
  <c r="Q7" i="34" s="1"/>
  <c r="S7" i="34" s="1"/>
  <c r="P6" i="79"/>
  <c r="R6" i="79" s="1"/>
  <c r="T6" i="79" s="1"/>
  <c r="Y44" i="50"/>
  <c r="AA44" i="50" s="1"/>
  <c r="AC44" i="50" s="1"/>
  <c r="AF44" i="50" s="1"/>
  <c r="O6" i="33"/>
  <c r="Q6" i="33" s="1"/>
  <c r="S6" i="33" s="1"/>
  <c r="X52" i="82"/>
  <c r="Z52" i="82" s="1"/>
  <c r="AB52" i="82" s="1"/>
  <c r="P6" i="44"/>
  <c r="R6" i="44" s="1"/>
  <c r="T6" i="44" s="1"/>
  <c r="Y30" i="50"/>
  <c r="AA30" i="50" s="1"/>
  <c r="AC30" i="50" s="1"/>
  <c r="AF30" i="50" s="1"/>
  <c r="X7" i="55"/>
  <c r="Z7" i="55" s="1"/>
  <c r="AB7" i="55" s="1"/>
  <c r="AE7" i="55" s="1"/>
  <c r="O7" i="59"/>
  <c r="Q7" i="59" s="1"/>
  <c r="S7" i="59" s="1"/>
  <c r="V7" i="59" s="1"/>
  <c r="O7" i="41"/>
  <c r="Q7" i="41" s="1"/>
  <c r="S7" i="41" s="1"/>
  <c r="X6" i="82"/>
  <c r="Z6" i="82" s="1"/>
  <c r="AB6" i="82" s="1"/>
  <c r="P7" i="45"/>
  <c r="R7" i="45" s="1"/>
  <c r="T7" i="45" s="1"/>
  <c r="O21" i="41"/>
  <c r="Q21" i="41" s="1"/>
  <c r="S21" i="41" s="1"/>
  <c r="O13" i="33"/>
  <c r="Q13" i="33" s="1"/>
  <c r="S13" i="33" s="1"/>
  <c r="X34" i="82"/>
  <c r="O11" i="33"/>
  <c r="Q11" i="33" s="1"/>
  <c r="S11" i="33" s="1"/>
  <c r="X39" i="82"/>
  <c r="Z39" i="82" s="1"/>
  <c r="AB39" i="82" s="1"/>
  <c r="O16" i="33"/>
  <c r="Q16" i="33" s="1"/>
  <c r="S16" i="33" s="1"/>
  <c r="X43" i="82"/>
  <c r="O20" i="33"/>
  <c r="Q20" i="33" s="1"/>
  <c r="S20" i="33" s="1"/>
  <c r="P17" i="54"/>
  <c r="R17" i="54" s="1"/>
  <c r="T17" i="54" s="1"/>
  <c r="W17" i="54" s="1"/>
  <c r="P11" i="54"/>
  <c r="R11" i="54" s="1"/>
  <c r="T11" i="54" s="1"/>
  <c r="W11" i="54" s="1"/>
  <c r="P15" i="54"/>
  <c r="R15" i="54" s="1"/>
  <c r="T15" i="54" s="1"/>
  <c r="W15" i="54" s="1"/>
  <c r="O12" i="34"/>
  <c r="Q12" i="34" s="1"/>
  <c r="S12" i="34" s="1"/>
  <c r="P14" i="44"/>
  <c r="R14" i="44" s="1"/>
  <c r="T14" i="44" s="1"/>
  <c r="X30" i="82"/>
  <c r="Z30" i="82" s="1"/>
  <c r="AB30" i="82" s="1"/>
  <c r="P6" i="53"/>
  <c r="R6" i="53" s="1"/>
  <c r="T6" i="53" s="1"/>
  <c r="W6" i="53" s="1"/>
  <c r="P9" i="79"/>
  <c r="R9" i="79" s="1"/>
  <c r="T9" i="79" s="1"/>
  <c r="O13" i="41"/>
  <c r="Q13" i="41" s="1"/>
  <c r="S13" i="41" s="1"/>
  <c r="X37" i="82"/>
  <c r="Z37" i="82" s="1"/>
  <c r="AB37" i="82" s="1"/>
  <c r="P10" i="45"/>
  <c r="R10" i="45" s="1"/>
  <c r="T10" i="45" s="1"/>
  <c r="P12" i="52"/>
  <c r="R12" i="52" s="1"/>
  <c r="T12" i="52" s="1"/>
  <c r="W12" i="52" s="1"/>
  <c r="P10" i="44"/>
  <c r="R10" i="44" s="1"/>
  <c r="T10" i="44" s="1"/>
  <c r="O7" i="38"/>
  <c r="Q7" i="38" s="1"/>
  <c r="S7" i="38" s="1"/>
  <c r="X40" i="82"/>
  <c r="Z40" i="82" s="1"/>
  <c r="AB40" i="82" s="1"/>
  <c r="X42" i="82"/>
  <c r="Z42" i="82" s="1"/>
  <c r="AB42" i="82" s="1"/>
  <c r="P14" i="53"/>
  <c r="R14" i="53" s="1"/>
  <c r="T14" i="53" s="1"/>
  <c r="W14" i="53" s="1"/>
  <c r="P19" i="54"/>
  <c r="R19" i="54" s="1"/>
  <c r="T19" i="54" s="1"/>
  <c r="W19" i="54" s="1"/>
  <c r="P20" i="52"/>
  <c r="R20" i="52" s="1"/>
  <c r="T20" i="52" s="1"/>
  <c r="W20" i="52" s="1"/>
  <c r="P10" i="48"/>
  <c r="R10" i="48" s="1"/>
  <c r="T10" i="48" s="1"/>
  <c r="O6" i="38"/>
  <c r="Q6" i="38" s="1"/>
  <c r="S6" i="38" s="1"/>
  <c r="X35" i="82"/>
  <c r="Z35" i="82" s="1"/>
  <c r="AB35" i="82" s="1"/>
  <c r="O12" i="33"/>
  <c r="Q12" i="33" s="1"/>
  <c r="S12" i="33" s="1"/>
  <c r="P16" i="52"/>
  <c r="R16" i="52" s="1"/>
  <c r="T16" i="52" s="1"/>
  <c r="W16" i="52" s="1"/>
  <c r="P16" i="53"/>
  <c r="R16" i="53" s="1"/>
  <c r="T16" i="53" s="1"/>
  <c r="W16" i="53" s="1"/>
  <c r="X6" i="55"/>
  <c r="Z6" i="55" s="1"/>
  <c r="AB6" i="55" s="1"/>
  <c r="AE6" i="55" s="1"/>
  <c r="O18" i="33"/>
  <c r="Q18" i="33" s="1"/>
  <c r="S18" i="33" s="1"/>
  <c r="O17" i="41"/>
  <c r="Q17" i="41" s="1"/>
  <c r="S17" i="41" s="1"/>
  <c r="O12" i="38"/>
  <c r="Q12" i="38" s="1"/>
  <c r="S12" i="38" s="1"/>
  <c r="R16" i="45"/>
  <c r="T16" i="45" s="1"/>
  <c r="P14" i="54"/>
  <c r="R14" i="54" s="1"/>
  <c r="T14" i="54" s="1"/>
  <c r="W14" i="54" s="1"/>
  <c r="Y13" i="50"/>
  <c r="AA13" i="50" s="1"/>
  <c r="AC13" i="50" s="1"/>
  <c r="AF13" i="50" s="1"/>
  <c r="Y12" i="50"/>
  <c r="AA12" i="50" s="1"/>
  <c r="AC12" i="50" s="1"/>
  <c r="AF12" i="50" s="1"/>
  <c r="Y11" i="50"/>
  <c r="AA11" i="50" s="1"/>
  <c r="AC11" i="50" s="1"/>
  <c r="AF11" i="50" s="1"/>
  <c r="P9" i="54"/>
  <c r="R9" i="54" s="1"/>
  <c r="T9" i="54" s="1"/>
  <c r="W9" i="54" s="1"/>
  <c r="Y8" i="50"/>
  <c r="AA8" i="50" s="1"/>
  <c r="AC8" i="50" s="1"/>
  <c r="AF8" i="50" s="1"/>
  <c r="Y17" i="50"/>
  <c r="AA17" i="50" s="1"/>
  <c r="AC17" i="50" s="1"/>
  <c r="AF17" i="50" s="1"/>
  <c r="Y16" i="50"/>
  <c r="AA16" i="50" s="1"/>
  <c r="AC16" i="50" s="1"/>
  <c r="AF16" i="50" s="1"/>
  <c r="P7" i="52"/>
  <c r="R7" i="52" s="1"/>
  <c r="T7" i="52" s="1"/>
  <c r="W7" i="52" s="1"/>
  <c r="Y7" i="50"/>
  <c r="AA7" i="50" s="1"/>
  <c r="AC7" i="50" s="1"/>
  <c r="AF7" i="50" s="1"/>
  <c r="Q14" i="90"/>
  <c r="S14" i="90" s="1"/>
  <c r="V14" i="90" s="1"/>
  <c r="Q6" i="90"/>
  <c r="S6" i="90" s="1"/>
  <c r="V6" i="90" s="1"/>
  <c r="Q18" i="90"/>
  <c r="S18" i="90" s="1"/>
  <c r="V18" i="90" s="1"/>
  <c r="Q7" i="90"/>
  <c r="S7" i="90" s="1"/>
  <c r="V7" i="90" s="1"/>
  <c r="Q11" i="90"/>
  <c r="S11" i="90" s="1"/>
  <c r="V11" i="90" s="1"/>
  <c r="Q15" i="90"/>
  <c r="S15" i="90" s="1"/>
  <c r="V15" i="90" s="1"/>
  <c r="Q19" i="90"/>
  <c r="S19" i="90" s="1"/>
  <c r="V19" i="90" s="1"/>
  <c r="Q10" i="90"/>
  <c r="S10" i="90" s="1"/>
  <c r="V10" i="90" s="1"/>
  <c r="Q8" i="90"/>
  <c r="S8" i="90" s="1"/>
  <c r="V8" i="90" s="1"/>
  <c r="Q12" i="90"/>
  <c r="S12" i="90" s="1"/>
  <c r="V12" i="90" s="1"/>
  <c r="Q16" i="90"/>
  <c r="S16" i="90" s="1"/>
  <c r="V16" i="90" s="1"/>
  <c r="Q20" i="90"/>
  <c r="S20" i="90" s="1"/>
  <c r="V20" i="90" s="1"/>
  <c r="Q9" i="90"/>
  <c r="S9" i="90" s="1"/>
  <c r="V9" i="90" s="1"/>
  <c r="Q13" i="90"/>
  <c r="S13" i="90" s="1"/>
  <c r="V13" i="90" s="1"/>
  <c r="Q17" i="90"/>
  <c r="S17" i="90" s="1"/>
  <c r="V17" i="90" s="1"/>
  <c r="Q21" i="90"/>
  <c r="S21" i="90" s="1"/>
  <c r="V21" i="90" s="1"/>
  <c r="O21" i="59"/>
  <c r="Q21" i="59" s="1"/>
  <c r="S21" i="59" s="1"/>
  <c r="V21" i="59" s="1"/>
  <c r="O20" i="59"/>
  <c r="Q20" i="59" s="1"/>
  <c r="S20" i="59" s="1"/>
  <c r="V20" i="59" s="1"/>
  <c r="O19" i="59"/>
  <c r="Q19" i="59" s="1"/>
  <c r="S19" i="59" s="1"/>
  <c r="V19" i="59" s="1"/>
  <c r="O18" i="59"/>
  <c r="Q18" i="59" s="1"/>
  <c r="S18" i="59" s="1"/>
  <c r="V18" i="59" s="1"/>
  <c r="O10" i="59"/>
  <c r="Q10" i="59" s="1"/>
  <c r="S10" i="59" s="1"/>
  <c r="V10" i="59" s="1"/>
  <c r="O8" i="59"/>
  <c r="Q8" i="59" s="1"/>
  <c r="S8" i="59" s="1"/>
  <c r="V8" i="59" s="1"/>
  <c r="O6" i="59"/>
  <c r="Q6" i="59" s="1"/>
  <c r="S6" i="59" s="1"/>
  <c r="V6" i="59" s="1"/>
  <c r="Q15" i="59"/>
  <c r="S15" i="59" s="1"/>
  <c r="V15" i="59" s="1"/>
  <c r="Q14" i="59"/>
  <c r="S14" i="59" s="1"/>
  <c r="V14" i="59" s="1"/>
  <c r="Q16" i="59"/>
  <c r="S16" i="59" s="1"/>
  <c r="V16" i="59" s="1"/>
  <c r="Q13" i="59"/>
  <c r="S13" i="59" s="1"/>
  <c r="V13" i="59" s="1"/>
  <c r="Y41" i="50"/>
  <c r="AA41" i="50" s="1"/>
  <c r="Y39" i="50"/>
  <c r="AA39" i="50" s="1"/>
  <c r="AC39" i="50" s="1"/>
  <c r="Y37" i="50"/>
  <c r="AA37" i="50" s="1"/>
  <c r="AC37" i="50" s="1"/>
  <c r="AF37" i="50" s="1"/>
  <c r="Y36" i="50"/>
  <c r="AA36" i="50" s="1"/>
  <c r="AC36" i="50" s="1"/>
  <c r="AF36" i="50" s="1"/>
  <c r="Y34" i="50"/>
  <c r="AA34" i="50" s="1"/>
  <c r="Y31" i="50"/>
  <c r="AA31" i="50" s="1"/>
  <c r="AC31" i="50" s="1"/>
  <c r="Y21" i="50"/>
  <c r="AA21" i="50" s="1"/>
  <c r="AC21" i="50" s="1"/>
  <c r="AF21" i="50" s="1"/>
  <c r="Y20" i="50"/>
  <c r="AA20" i="50" s="1"/>
  <c r="AC20" i="50" s="1"/>
  <c r="AF20" i="50" s="1"/>
  <c r="Y19" i="50"/>
  <c r="AA19" i="50" s="1"/>
  <c r="AC19" i="50" s="1"/>
  <c r="AF19" i="50" s="1"/>
  <c r="Y18" i="50"/>
  <c r="AA18" i="50" s="1"/>
  <c r="AC18" i="50" s="1"/>
  <c r="AF18" i="50" s="1"/>
  <c r="Y14" i="50"/>
  <c r="AA14" i="50" s="1"/>
  <c r="AC14" i="50" s="1"/>
  <c r="AF14" i="50" s="1"/>
  <c r="Y10" i="50"/>
  <c r="AA10" i="50" s="1"/>
  <c r="AC10" i="50" s="1"/>
  <c r="AF10" i="50" s="1"/>
  <c r="Y6" i="50"/>
  <c r="AA6" i="50" s="1"/>
  <c r="AC6" i="50" s="1"/>
  <c r="AF6" i="50" s="1"/>
  <c r="AA15" i="50"/>
  <c r="AC15" i="50" s="1"/>
  <c r="AF15" i="50" s="1"/>
  <c r="X19" i="55"/>
  <c r="Z19" i="55" s="1"/>
  <c r="AB19" i="55" s="1"/>
  <c r="AE19" i="55" s="1"/>
  <c r="X15" i="55"/>
  <c r="Z15" i="55" s="1"/>
  <c r="AB15" i="55" s="1"/>
  <c r="AE15" i="55" s="1"/>
  <c r="X10" i="55"/>
  <c r="Z10" i="55" s="1"/>
  <c r="AB10" i="55" s="1"/>
  <c r="AE10" i="55" s="1"/>
  <c r="X9" i="55"/>
  <c r="Z9" i="55" s="1"/>
  <c r="AB9" i="55" s="1"/>
  <c r="AE9" i="55" s="1"/>
  <c r="X8" i="55"/>
  <c r="Z8" i="55" s="1"/>
  <c r="AB8" i="55" s="1"/>
  <c r="AE8" i="55" s="1"/>
  <c r="Z16" i="55"/>
  <c r="AB16" i="55" s="1"/>
  <c r="AE16" i="55" s="1"/>
  <c r="Z20" i="55"/>
  <c r="AB20" i="55" s="1"/>
  <c r="AE20" i="55" s="1"/>
  <c r="P21" i="54"/>
  <c r="R21" i="54" s="1"/>
  <c r="T21" i="54" s="1"/>
  <c r="W21" i="54" s="1"/>
  <c r="P20" i="54"/>
  <c r="R20" i="54" s="1"/>
  <c r="T20" i="54" s="1"/>
  <c r="W20" i="54" s="1"/>
  <c r="P18" i="54"/>
  <c r="R18" i="54" s="1"/>
  <c r="T18" i="54" s="1"/>
  <c r="W18" i="54" s="1"/>
  <c r="P16" i="54"/>
  <c r="R16" i="54" s="1"/>
  <c r="T16" i="54" s="1"/>
  <c r="W16" i="54" s="1"/>
  <c r="P13" i="54"/>
  <c r="R13" i="54" s="1"/>
  <c r="T13" i="54" s="1"/>
  <c r="W13" i="54" s="1"/>
  <c r="P12" i="54"/>
  <c r="R12" i="54" s="1"/>
  <c r="T12" i="54" s="1"/>
  <c r="W12" i="54" s="1"/>
  <c r="P10" i="54"/>
  <c r="R10" i="54" s="1"/>
  <c r="T10" i="54" s="1"/>
  <c r="W10" i="54" s="1"/>
  <c r="P8" i="54"/>
  <c r="R8" i="54" s="1"/>
  <c r="T8" i="54" s="1"/>
  <c r="W8" i="54" s="1"/>
  <c r="P7" i="54"/>
  <c r="R7" i="54" s="1"/>
  <c r="T7" i="54" s="1"/>
  <c r="W7" i="54" s="1"/>
  <c r="P6" i="54"/>
  <c r="R6" i="54" s="1"/>
  <c r="T6" i="54" s="1"/>
  <c r="W6" i="54" s="1"/>
  <c r="P20" i="53"/>
  <c r="R20" i="53" s="1"/>
  <c r="T20" i="53" s="1"/>
  <c r="W20" i="53" s="1"/>
  <c r="P19" i="53"/>
  <c r="R19" i="53" s="1"/>
  <c r="T19" i="53" s="1"/>
  <c r="W19" i="53" s="1"/>
  <c r="P10" i="53"/>
  <c r="R10" i="53" s="1"/>
  <c r="T10" i="53" s="1"/>
  <c r="W10" i="53" s="1"/>
  <c r="R13" i="53"/>
  <c r="T13" i="53" s="1"/>
  <c r="W13" i="53" s="1"/>
  <c r="P21" i="52"/>
  <c r="R21" i="52" s="1"/>
  <c r="T21" i="52" s="1"/>
  <c r="W21" i="52" s="1"/>
  <c r="P18" i="52"/>
  <c r="R18" i="52" s="1"/>
  <c r="T18" i="52" s="1"/>
  <c r="W18" i="52" s="1"/>
  <c r="P14" i="52"/>
  <c r="R14" i="52" s="1"/>
  <c r="T14" i="52" s="1"/>
  <c r="W14" i="52" s="1"/>
  <c r="P9" i="52"/>
  <c r="R9" i="52" s="1"/>
  <c r="T9" i="52" s="1"/>
  <c r="W9" i="52" s="1"/>
  <c r="P8" i="52"/>
  <c r="R8" i="52" s="1"/>
  <c r="T8" i="52" s="1"/>
  <c r="W8" i="52" s="1"/>
  <c r="R11" i="52"/>
  <c r="T11" i="52" s="1"/>
  <c r="W11" i="52" s="1"/>
  <c r="R15" i="52"/>
  <c r="T15" i="52" s="1"/>
  <c r="W15" i="52" s="1"/>
  <c r="P9" i="45"/>
  <c r="R9" i="45" s="1"/>
  <c r="T9" i="45" s="1"/>
  <c r="X9" i="82"/>
  <c r="Z9" i="82" s="1"/>
  <c r="AB9" i="82" s="1"/>
  <c r="O9" i="35"/>
  <c r="Q9" i="35" s="1"/>
  <c r="S9" i="35" s="1"/>
  <c r="X8" i="82"/>
  <c r="Z8" i="82" s="1"/>
  <c r="AB8" i="82" s="1"/>
  <c r="O8" i="35"/>
  <c r="Q8" i="35" s="1"/>
  <c r="S8" i="35" s="1"/>
  <c r="P8" i="45"/>
  <c r="R8" i="45" s="1"/>
  <c r="T8" i="45" s="1"/>
  <c r="X21" i="82"/>
  <c r="Z21" i="82" s="1"/>
  <c r="AB21" i="82" s="1"/>
  <c r="P21" i="45"/>
  <c r="R21" i="45" s="1"/>
  <c r="T21" i="45" s="1"/>
  <c r="X21" i="49"/>
  <c r="Z21" i="49" s="1"/>
  <c r="AB21" i="49" s="1"/>
  <c r="P20" i="45"/>
  <c r="R20" i="45" s="1"/>
  <c r="T20" i="45" s="1"/>
  <c r="O20" i="35"/>
  <c r="Q20" i="35" s="1"/>
  <c r="S20" i="35" s="1"/>
  <c r="X19" i="82"/>
  <c r="Z19" i="82" s="1"/>
  <c r="AB19" i="82" s="1"/>
  <c r="O19" i="35"/>
  <c r="Q19" i="35" s="1"/>
  <c r="S19" i="35" s="1"/>
  <c r="P19" i="45"/>
  <c r="R19" i="45" s="1"/>
  <c r="T19" i="45" s="1"/>
  <c r="X18" i="82"/>
  <c r="Z18" i="82" s="1"/>
  <c r="AB18" i="82" s="1"/>
  <c r="O16" i="35"/>
  <c r="Q16" i="35" s="1"/>
  <c r="S16" i="35" s="1"/>
  <c r="X16" i="82"/>
  <c r="Z16" i="82" s="1"/>
  <c r="AB16" i="82" s="1"/>
  <c r="X16" i="49"/>
  <c r="Z16" i="49" s="1"/>
  <c r="AB16" i="49" s="1"/>
  <c r="P11" i="45"/>
  <c r="R11" i="45" s="1"/>
  <c r="T11" i="45" s="1"/>
  <c r="X11" i="82"/>
  <c r="Z11" i="82" s="1"/>
  <c r="AB11" i="82" s="1"/>
  <c r="O13" i="35"/>
  <c r="Q13" i="35" s="1"/>
  <c r="S13" i="35" s="1"/>
  <c r="P13" i="45"/>
  <c r="R13" i="45" s="1"/>
  <c r="T13" i="45" s="1"/>
  <c r="X14" i="49"/>
  <c r="Z14" i="49" s="1"/>
  <c r="AB14" i="49" s="1"/>
  <c r="X14" i="82"/>
  <c r="Z14" i="82" s="1"/>
  <c r="AB14" i="82" s="1"/>
  <c r="P14" i="45"/>
  <c r="R14" i="45" s="1"/>
  <c r="T14" i="45" s="1"/>
  <c r="O15" i="35"/>
  <c r="Q15" i="35" s="1"/>
  <c r="S15" i="35" s="1"/>
  <c r="X15" i="49"/>
  <c r="Z15" i="49" s="1"/>
  <c r="AB15" i="49" s="1"/>
  <c r="O7" i="35"/>
  <c r="Q7" i="35" s="1"/>
  <c r="S7" i="35" s="1"/>
  <c r="X7" i="49"/>
  <c r="Z7" i="49" s="1"/>
  <c r="AB7" i="49" s="1"/>
  <c r="O20" i="41"/>
  <c r="Q20" i="41" s="1"/>
  <c r="S20" i="41" s="1"/>
  <c r="O18" i="41"/>
  <c r="O16" i="41"/>
  <c r="Q16" i="41" s="1"/>
  <c r="S16" i="41" s="1"/>
  <c r="O9" i="41"/>
  <c r="Q9" i="41" s="1"/>
  <c r="S9" i="41" s="1"/>
  <c r="O8" i="41"/>
  <c r="Q8" i="41" s="1"/>
  <c r="S8" i="41" s="1"/>
  <c r="O10" i="41"/>
  <c r="Q10" i="41" s="1"/>
  <c r="S10" i="41" s="1"/>
  <c r="O6" i="41"/>
  <c r="Q6" i="41" s="1"/>
  <c r="S6" i="41" s="1"/>
  <c r="Q18" i="41"/>
  <c r="S18" i="41" s="1"/>
  <c r="P21" i="44"/>
  <c r="R21" i="44" s="1"/>
  <c r="T21" i="44" s="1"/>
  <c r="P20" i="44"/>
  <c r="R20" i="44" s="1"/>
  <c r="T20" i="44" s="1"/>
  <c r="P18" i="44"/>
  <c r="R18" i="44" s="1"/>
  <c r="T18" i="44" s="1"/>
  <c r="R12" i="44"/>
  <c r="T12" i="44" s="1"/>
  <c r="R18" i="40"/>
  <c r="T18" i="40" s="1"/>
  <c r="R10" i="40"/>
  <c r="T10" i="40" s="1"/>
  <c r="R14" i="40"/>
  <c r="T14" i="40" s="1"/>
  <c r="R16" i="40"/>
  <c r="T16" i="40" s="1"/>
  <c r="R7" i="40"/>
  <c r="T7" i="40" s="1"/>
  <c r="R20" i="40"/>
  <c r="T20" i="40" s="1"/>
  <c r="R8" i="40"/>
  <c r="T8" i="40" s="1"/>
  <c r="R21" i="40"/>
  <c r="T21" i="40" s="1"/>
  <c r="R15" i="40"/>
  <c r="T15" i="40" s="1"/>
  <c r="R12" i="40"/>
  <c r="T12" i="40" s="1"/>
  <c r="R6" i="40"/>
  <c r="T6" i="40" s="1"/>
  <c r="R19" i="40"/>
  <c r="T19" i="40" s="1"/>
  <c r="R13" i="40"/>
  <c r="T13" i="40" s="1"/>
  <c r="R9" i="40"/>
  <c r="T9" i="40" s="1"/>
  <c r="R17" i="40"/>
  <c r="T17" i="40" s="1"/>
  <c r="R11" i="40"/>
  <c r="T11" i="40" s="1"/>
  <c r="O20" i="38"/>
  <c r="Q20" i="38" s="1"/>
  <c r="S20" i="38" s="1"/>
  <c r="O17" i="38"/>
  <c r="Q17" i="38" s="1"/>
  <c r="S17" i="38" s="1"/>
  <c r="O10" i="38"/>
  <c r="Q10" i="38" s="1"/>
  <c r="S10" i="38" s="1"/>
  <c r="O8" i="38"/>
  <c r="Q8" i="38" s="1"/>
  <c r="S8" i="38" s="1"/>
  <c r="Q16" i="38"/>
  <c r="S16" i="38" s="1"/>
  <c r="Q14" i="38"/>
  <c r="S14" i="38" s="1"/>
  <c r="Q19" i="38"/>
  <c r="S19" i="38" s="1"/>
  <c r="Q21" i="38"/>
  <c r="S21" i="38" s="1"/>
  <c r="Q6" i="37"/>
  <c r="S6" i="37" s="1"/>
  <c r="Q18" i="37"/>
  <c r="S18" i="37" s="1"/>
  <c r="Q14" i="37"/>
  <c r="S14" i="37" s="1"/>
  <c r="Q7" i="37"/>
  <c r="S7" i="37" s="1"/>
  <c r="Q11" i="37"/>
  <c r="S11" i="37" s="1"/>
  <c r="Q15" i="37"/>
  <c r="S15" i="37" s="1"/>
  <c r="Q19" i="37"/>
  <c r="S19" i="37" s="1"/>
  <c r="Q10" i="37"/>
  <c r="S10" i="37" s="1"/>
  <c r="Q8" i="37"/>
  <c r="S8" i="37" s="1"/>
  <c r="Q12" i="37"/>
  <c r="S12" i="37" s="1"/>
  <c r="Q16" i="37"/>
  <c r="S16" i="37" s="1"/>
  <c r="Q20" i="37"/>
  <c r="S20" i="37" s="1"/>
  <c r="Q9" i="37"/>
  <c r="S9" i="37" s="1"/>
  <c r="Q13" i="37"/>
  <c r="S13" i="37" s="1"/>
  <c r="Q17" i="37"/>
  <c r="S17" i="37" s="1"/>
  <c r="Q21" i="37"/>
  <c r="S21" i="37" s="1"/>
  <c r="O21" i="35"/>
  <c r="Q21" i="35" s="1"/>
  <c r="S21" i="35" s="1"/>
  <c r="O11" i="35"/>
  <c r="Q11" i="35" s="1"/>
  <c r="S11" i="35" s="1"/>
  <c r="O10" i="35"/>
  <c r="Q10" i="35" s="1"/>
  <c r="S10" i="35" s="1"/>
  <c r="O18" i="35"/>
  <c r="Q18" i="35" s="1"/>
  <c r="S18" i="35" s="1"/>
  <c r="O14" i="35"/>
  <c r="Q14" i="35" s="1"/>
  <c r="S14" i="35" s="1"/>
  <c r="O6" i="35"/>
  <c r="Q6" i="35" s="1"/>
  <c r="S6" i="35" s="1"/>
  <c r="O19" i="34"/>
  <c r="Q19" i="34" s="1"/>
  <c r="S19" i="34" s="1"/>
  <c r="O18" i="34"/>
  <c r="Q18" i="34" s="1"/>
  <c r="S18" i="34" s="1"/>
  <c r="O15" i="34"/>
  <c r="Q15" i="34" s="1"/>
  <c r="S15" i="34" s="1"/>
  <c r="O10" i="34"/>
  <c r="Q10" i="34" s="1"/>
  <c r="S10" i="34" s="1"/>
  <c r="O9" i="34"/>
  <c r="Q9" i="34" s="1"/>
  <c r="S9" i="34" s="1"/>
  <c r="O6" i="34"/>
  <c r="Q6" i="34" s="1"/>
  <c r="S6" i="34" s="1"/>
  <c r="Q20" i="34"/>
  <c r="S20" i="34" s="1"/>
  <c r="Q13" i="34"/>
  <c r="S13" i="34" s="1"/>
  <c r="O19" i="33"/>
  <c r="Q19" i="33" s="1"/>
  <c r="S19" i="33" s="1"/>
  <c r="O17" i="33"/>
  <c r="Q17" i="33" s="1"/>
  <c r="S17" i="33" s="1"/>
  <c r="O9" i="33"/>
  <c r="Q9" i="33" s="1"/>
  <c r="S9" i="33" s="1"/>
  <c r="O7" i="33"/>
  <c r="Q7" i="33" s="1"/>
  <c r="S7" i="33" s="1"/>
  <c r="R11" i="44"/>
  <c r="T11" i="44" s="1"/>
  <c r="R18" i="45"/>
  <c r="T18" i="45" s="1"/>
  <c r="P21" i="79"/>
  <c r="R21" i="79" s="1"/>
  <c r="T21" i="79" s="1"/>
  <c r="P17" i="79"/>
  <c r="R17" i="79" s="1"/>
  <c r="T17" i="79" s="1"/>
  <c r="P16" i="79"/>
  <c r="R16" i="79" s="1"/>
  <c r="T16" i="79" s="1"/>
  <c r="P15" i="79"/>
  <c r="R15" i="79" s="1"/>
  <c r="T15" i="79" s="1"/>
  <c r="P13" i="79"/>
  <c r="R13" i="79" s="1"/>
  <c r="T13" i="79" s="1"/>
  <c r="P11" i="79"/>
  <c r="R11" i="79" s="1"/>
  <c r="T11" i="79" s="1"/>
  <c r="P10" i="79"/>
  <c r="R10" i="79" s="1"/>
  <c r="T10" i="79" s="1"/>
  <c r="P7" i="79"/>
  <c r="R7" i="79" s="1"/>
  <c r="T7" i="79" s="1"/>
  <c r="R20" i="79"/>
  <c r="T20" i="79" s="1"/>
  <c r="X44" i="82"/>
  <c r="Z44" i="82" s="1"/>
  <c r="AB44" i="82" s="1"/>
  <c r="X41" i="82"/>
  <c r="Z41" i="82" s="1"/>
  <c r="AB41" i="82" s="1"/>
  <c r="X36" i="82"/>
  <c r="Z36" i="82" s="1"/>
  <c r="AB36" i="82" s="1"/>
  <c r="Z34" i="82"/>
  <c r="AB34" i="82" s="1"/>
  <c r="X32" i="82"/>
  <c r="Z32" i="82" s="1"/>
  <c r="AB32" i="82" s="1"/>
  <c r="X17" i="82"/>
  <c r="Z17" i="82" s="1"/>
  <c r="AB17" i="82" s="1"/>
  <c r="X15" i="82"/>
  <c r="Z15" i="82" s="1"/>
  <c r="AB15" i="82" s="1"/>
  <c r="X10" i="82"/>
  <c r="Z10" i="82" s="1"/>
  <c r="AB10" i="82" s="1"/>
  <c r="X7" i="82"/>
  <c r="Z7" i="82" s="1"/>
  <c r="AB7" i="82" s="1"/>
  <c r="Z13" i="82"/>
  <c r="AB13" i="82" s="1"/>
  <c r="Z12" i="82"/>
  <c r="AB12" i="82" s="1"/>
  <c r="X29" i="82"/>
  <c r="Z29" i="82" s="1"/>
  <c r="AB29" i="82" s="1"/>
  <c r="Z43" i="82"/>
  <c r="AB43" i="82" s="1"/>
  <c r="X66" i="82"/>
  <c r="Z66" i="82" s="1"/>
  <c r="AB66" i="82" s="1"/>
  <c r="X65" i="82"/>
  <c r="Z65" i="82" s="1"/>
  <c r="AB65" i="82" s="1"/>
  <c r="X64" i="82"/>
  <c r="Z64" i="82" s="1"/>
  <c r="AB64" i="82" s="1"/>
  <c r="X63" i="82"/>
  <c r="Z63" i="82" s="1"/>
  <c r="AB63" i="82" s="1"/>
  <c r="X61" i="82"/>
  <c r="Z61" i="82" s="1"/>
  <c r="AB61" i="82" s="1"/>
  <c r="X59" i="82"/>
  <c r="Z59" i="82" s="1"/>
  <c r="AB59" i="82" s="1"/>
  <c r="X58" i="82"/>
  <c r="Z58" i="82" s="1"/>
  <c r="AB58" i="82" s="1"/>
  <c r="X57" i="82"/>
  <c r="Z57" i="82" s="1"/>
  <c r="AB57" i="82" s="1"/>
  <c r="X56" i="82"/>
  <c r="Z56" i="82" s="1"/>
  <c r="AB56" i="82" s="1"/>
  <c r="X55" i="82"/>
  <c r="Z55" i="82" s="1"/>
  <c r="AB55" i="82" s="1"/>
  <c r="X54" i="82"/>
  <c r="Z54" i="82" s="1"/>
  <c r="AB54" i="82" s="1"/>
  <c r="X53" i="82"/>
  <c r="Z53" i="82" s="1"/>
  <c r="AB53" i="82" s="1"/>
  <c r="X20" i="49"/>
  <c r="Z20" i="49" s="1"/>
  <c r="AB20" i="49" s="1"/>
  <c r="X19" i="49"/>
  <c r="Z19" i="49" s="1"/>
  <c r="AB19" i="49" s="1"/>
  <c r="X18" i="49"/>
  <c r="Z18" i="49" s="1"/>
  <c r="AB18" i="49" s="1"/>
  <c r="X17" i="49"/>
  <c r="Z17" i="49" s="1"/>
  <c r="AB17" i="49" s="1"/>
  <c r="X13" i="49"/>
  <c r="Z13" i="49" s="1"/>
  <c r="AB13" i="49" s="1"/>
  <c r="X12" i="49"/>
  <c r="Z12" i="49" s="1"/>
  <c r="AB12" i="49" s="1"/>
  <c r="X11" i="49"/>
  <c r="Z11" i="49" s="1"/>
  <c r="AB11" i="49" s="1"/>
  <c r="X10" i="49"/>
  <c r="Z10" i="49" s="1"/>
  <c r="AB10" i="49" s="1"/>
  <c r="X9" i="49"/>
  <c r="Z9" i="49" s="1"/>
  <c r="AB9" i="49" s="1"/>
  <c r="P21" i="48"/>
  <c r="R21" i="48" s="1"/>
  <c r="T21" i="48" s="1"/>
  <c r="P20" i="48"/>
  <c r="R20" i="48" s="1"/>
  <c r="T20" i="48" s="1"/>
  <c r="P19" i="48"/>
  <c r="R19" i="48" s="1"/>
  <c r="T19" i="48" s="1"/>
  <c r="P18" i="48"/>
  <c r="R18" i="48" s="1"/>
  <c r="T18" i="48" s="1"/>
  <c r="P17" i="48"/>
  <c r="R17" i="48" s="1"/>
  <c r="T17" i="48" s="1"/>
  <c r="P14" i="48"/>
  <c r="R14" i="48" s="1"/>
  <c r="T14" i="48" s="1"/>
  <c r="P13" i="48"/>
  <c r="R13" i="48" s="1"/>
  <c r="T13" i="48" s="1"/>
  <c r="P12" i="48"/>
  <c r="R12" i="48" s="1"/>
  <c r="T12" i="48" s="1"/>
  <c r="P11" i="48"/>
  <c r="R11" i="48" s="1"/>
  <c r="T11" i="48" s="1"/>
  <c r="P9" i="48"/>
  <c r="R9" i="48" s="1"/>
  <c r="T9" i="48" s="1"/>
  <c r="P8" i="48"/>
  <c r="R8" i="48" s="1"/>
  <c r="T8" i="48" s="1"/>
  <c r="P7" i="48"/>
  <c r="R7" i="48" s="1"/>
  <c r="T7" i="48" s="1"/>
  <c r="R20" i="47"/>
  <c r="R19" i="47"/>
  <c r="R16" i="47"/>
  <c r="R15" i="47"/>
  <c r="R12" i="47"/>
  <c r="R11" i="47"/>
  <c r="R8" i="47"/>
  <c r="R7" i="47"/>
  <c r="U21" i="67"/>
  <c r="U18" i="67"/>
  <c r="U16" i="67"/>
  <c r="U13" i="67"/>
  <c r="U11" i="67"/>
  <c r="S21" i="67"/>
  <c r="S20" i="67"/>
  <c r="T20" i="67" s="1"/>
  <c r="S19" i="67"/>
  <c r="S18" i="67"/>
  <c r="S13" i="67"/>
  <c r="T13" i="67" s="1"/>
  <c r="S10" i="67"/>
  <c r="S8" i="67"/>
  <c r="T8" i="67" s="1"/>
  <c r="S31" i="67"/>
  <c r="T31" i="67" s="1"/>
  <c r="S33" i="67"/>
  <c r="S35" i="67"/>
  <c r="T35" i="67" s="1"/>
  <c r="V35" i="67" s="1"/>
  <c r="X35" i="67" s="1"/>
  <c r="S37" i="67"/>
  <c r="S42" i="67"/>
  <c r="T42" i="67" s="1"/>
  <c r="V42" i="67" s="1"/>
  <c r="S7" i="67"/>
  <c r="T7" i="67" s="1"/>
  <c r="U8" i="67"/>
  <c r="S9" i="67"/>
  <c r="T9" i="67" s="1"/>
  <c r="U9" i="67"/>
  <c r="U10" i="67"/>
  <c r="S11" i="67"/>
  <c r="S12" i="67"/>
  <c r="T12" i="67" s="1"/>
  <c r="U12" i="67"/>
  <c r="S14" i="67"/>
  <c r="T14" i="67" s="1"/>
  <c r="U14" i="67"/>
  <c r="S15" i="67"/>
  <c r="T15" i="67" s="1"/>
  <c r="U15" i="67"/>
  <c r="S16" i="67"/>
  <c r="S17" i="67"/>
  <c r="T17" i="67" s="1"/>
  <c r="U17" i="67"/>
  <c r="U19" i="67"/>
  <c r="U20" i="67"/>
  <c r="S32" i="67"/>
  <c r="T32" i="67" s="1"/>
  <c r="V32" i="67" s="1"/>
  <c r="X32" i="67" s="1"/>
  <c r="S34" i="67"/>
  <c r="T34" i="67" s="1"/>
  <c r="V34" i="67" s="1"/>
  <c r="X34" i="67" s="1"/>
  <c r="S36" i="67"/>
  <c r="T36" i="67" s="1"/>
  <c r="V36" i="67" s="1"/>
  <c r="X36" i="67" s="1"/>
  <c r="S38" i="67"/>
  <c r="T38" i="67" s="1"/>
  <c r="V38" i="67" s="1"/>
  <c r="S39" i="67"/>
  <c r="T39" i="67" s="1"/>
  <c r="V39" i="67" s="1"/>
  <c r="S40" i="67"/>
  <c r="T40" i="67" s="1"/>
  <c r="V40" i="67" s="1"/>
  <c r="S41" i="67"/>
  <c r="T41" i="67" s="1"/>
  <c r="V41" i="67" s="1"/>
  <c r="S43" i="67"/>
  <c r="T43" i="67" s="1"/>
  <c r="V43" i="67" s="1"/>
  <c r="S44" i="67"/>
  <c r="T44" i="67" s="1"/>
  <c r="V44" i="67" s="1"/>
  <c r="S45" i="67"/>
  <c r="T45" i="67" s="1"/>
  <c r="U30" i="67"/>
  <c r="S30" i="67"/>
  <c r="U6" i="67"/>
  <c r="S6" i="67"/>
  <c r="O19" i="65"/>
  <c r="O18" i="65"/>
  <c r="O17" i="65"/>
  <c r="P17" i="65" s="1"/>
  <c r="O15" i="65"/>
  <c r="O14" i="65"/>
  <c r="O11" i="65"/>
  <c r="O10" i="65"/>
  <c r="O9" i="65"/>
  <c r="O8" i="65"/>
  <c r="O7" i="65"/>
  <c r="Q21" i="65"/>
  <c r="Q20" i="65"/>
  <c r="Q19" i="65"/>
  <c r="Q18" i="65"/>
  <c r="Q17" i="65"/>
  <c r="Q16" i="65"/>
  <c r="Q13" i="65"/>
  <c r="Q12" i="65"/>
  <c r="Q10" i="65"/>
  <c r="Q9" i="65"/>
  <c r="Q7" i="65"/>
  <c r="O21" i="65"/>
  <c r="Q8" i="65"/>
  <c r="Q11" i="65"/>
  <c r="O12" i="65"/>
  <c r="O13" i="65"/>
  <c r="Q14" i="65"/>
  <c r="Q15" i="65"/>
  <c r="O16" i="65"/>
  <c r="O20" i="65"/>
  <c r="Q6" i="65"/>
  <c r="O6" i="65"/>
  <c r="O21" i="76"/>
  <c r="O17" i="76"/>
  <c r="O16" i="76"/>
  <c r="O13" i="76"/>
  <c r="O11" i="76"/>
  <c r="O10" i="76"/>
  <c r="O9" i="76"/>
  <c r="O8" i="76"/>
  <c r="O7" i="76"/>
  <c r="M21" i="76"/>
  <c r="M20" i="76"/>
  <c r="M13" i="76"/>
  <c r="N13" i="76" s="1"/>
  <c r="M12" i="76"/>
  <c r="N12" i="76" s="1"/>
  <c r="M11" i="76"/>
  <c r="N11" i="76" s="1"/>
  <c r="M10" i="76"/>
  <c r="M9" i="76"/>
  <c r="M7" i="76"/>
  <c r="N7" i="76" s="1"/>
  <c r="M17" i="76"/>
  <c r="O6" i="76"/>
  <c r="M6" i="76"/>
  <c r="M8" i="76"/>
  <c r="O12" i="76"/>
  <c r="M14" i="76"/>
  <c r="N14" i="76" s="1"/>
  <c r="M15" i="76"/>
  <c r="N15" i="76" s="1"/>
  <c r="O15" i="76"/>
  <c r="M16" i="76"/>
  <c r="M18" i="76"/>
  <c r="O18" i="76"/>
  <c r="M19" i="76"/>
  <c r="N19" i="76" s="1"/>
  <c r="O19" i="76"/>
  <c r="O20" i="76"/>
  <c r="Q20" i="39"/>
  <c r="Q18" i="39"/>
  <c r="Q17" i="39"/>
  <c r="Q15" i="39"/>
  <c r="Q13" i="39"/>
  <c r="O21" i="39"/>
  <c r="P21" i="39" s="1"/>
  <c r="O20" i="39"/>
  <c r="O18" i="39"/>
  <c r="O17" i="39"/>
  <c r="O15" i="39"/>
  <c r="Q7" i="39"/>
  <c r="Q8" i="39"/>
  <c r="R8" i="39" s="1"/>
  <c r="T8" i="39" s="1"/>
  <c r="Q9" i="39"/>
  <c r="Q10" i="39"/>
  <c r="Q11" i="39"/>
  <c r="Q12" i="39"/>
  <c r="Q14" i="39"/>
  <c r="O16" i="39"/>
  <c r="Q16" i="39"/>
  <c r="O19" i="39"/>
  <c r="P19" i="39" s="1"/>
  <c r="Q19" i="39"/>
  <c r="Q21" i="39"/>
  <c r="Q6" i="39"/>
  <c r="N19" i="74"/>
  <c r="N18" i="74"/>
  <c r="N17" i="74"/>
  <c r="N16" i="74"/>
  <c r="N15" i="74"/>
  <c r="O15" i="74" s="1"/>
  <c r="N14" i="74"/>
  <c r="N11" i="74"/>
  <c r="N10" i="74"/>
  <c r="N9" i="74"/>
  <c r="N8" i="74"/>
  <c r="O8" i="74" s="1"/>
  <c r="N7" i="74"/>
  <c r="O7" i="74" s="1"/>
  <c r="P20" i="74"/>
  <c r="P19" i="74"/>
  <c r="P18" i="74"/>
  <c r="P16" i="74"/>
  <c r="P15" i="74"/>
  <c r="P14" i="74"/>
  <c r="P13" i="74"/>
  <c r="P12" i="74"/>
  <c r="P11" i="74"/>
  <c r="P10" i="74"/>
  <c r="P9" i="74"/>
  <c r="P7" i="74"/>
  <c r="P6" i="74"/>
  <c r="N6" i="74"/>
  <c r="P8" i="74"/>
  <c r="P17" i="74"/>
  <c r="P21" i="74"/>
  <c r="N21" i="74"/>
  <c r="N20" i="74"/>
  <c r="N13" i="74"/>
  <c r="N12" i="74"/>
  <c r="O21" i="58"/>
  <c r="O20" i="58"/>
  <c r="O18" i="58"/>
  <c r="O17" i="58"/>
  <c r="P17" i="58" s="1"/>
  <c r="O16" i="58"/>
  <c r="O15" i="58"/>
  <c r="P15" i="58" s="1"/>
  <c r="O14" i="58"/>
  <c r="P14" i="58" s="1"/>
  <c r="O12" i="58"/>
  <c r="O11" i="58"/>
  <c r="O10" i="58"/>
  <c r="O9" i="58"/>
  <c r="O8" i="58"/>
  <c r="P8" i="58" s="1"/>
  <c r="O7" i="58"/>
  <c r="P7" i="58" s="1"/>
  <c r="Q21" i="58"/>
  <c r="Q15" i="58"/>
  <c r="Q13" i="58"/>
  <c r="Q11" i="58"/>
  <c r="Q9" i="58"/>
  <c r="Q8" i="58"/>
  <c r="Q7" i="58"/>
  <c r="O13" i="58"/>
  <c r="Q14" i="58"/>
  <c r="Q17" i="58"/>
  <c r="O19" i="58"/>
  <c r="P19" i="58" s="1"/>
  <c r="Q19" i="58"/>
  <c r="Q6" i="58"/>
  <c r="O6" i="58"/>
  <c r="S7" i="58"/>
  <c r="S8" i="58"/>
  <c r="S9" i="58"/>
  <c r="S15" i="58"/>
  <c r="S16" i="58"/>
  <c r="S17" i="58"/>
  <c r="T21" i="57"/>
  <c r="T20" i="57"/>
  <c r="T19" i="57"/>
  <c r="T18" i="57"/>
  <c r="T17" i="57"/>
  <c r="T16" i="57"/>
  <c r="T14" i="57"/>
  <c r="T13" i="57"/>
  <c r="T12" i="57"/>
  <c r="T11" i="57"/>
  <c r="T10" i="57"/>
  <c r="T9" i="57"/>
  <c r="T8" i="57"/>
  <c r="T7" i="57"/>
  <c r="T15" i="57"/>
  <c r="T6" i="57"/>
  <c r="Q44" i="32"/>
  <c r="Q43" i="32"/>
  <c r="Q42" i="32"/>
  <c r="Q40" i="32"/>
  <c r="Q38" i="32"/>
  <c r="Q37" i="32"/>
  <c r="Q36" i="32"/>
  <c r="Q35" i="32"/>
  <c r="Q33" i="32"/>
  <c r="Q32" i="32"/>
  <c r="Q31" i="32"/>
  <c r="Q30" i="32"/>
  <c r="O42" i="32"/>
  <c r="O41" i="32"/>
  <c r="P41" i="32" s="1"/>
  <c r="O39" i="32"/>
  <c r="P39" i="32" s="1"/>
  <c r="O38" i="32"/>
  <c r="O37" i="32"/>
  <c r="O36" i="32"/>
  <c r="O35" i="32"/>
  <c r="O31" i="32"/>
  <c r="O30" i="32"/>
  <c r="S30" i="32"/>
  <c r="S31" i="32"/>
  <c r="O32" i="32"/>
  <c r="S32" i="32"/>
  <c r="O33" i="32"/>
  <c r="S33" i="32"/>
  <c r="O34" i="32"/>
  <c r="P34" i="32" s="1"/>
  <c r="Q34" i="32"/>
  <c r="S34" i="32"/>
  <c r="S35" i="32"/>
  <c r="S36" i="32"/>
  <c r="S37" i="32"/>
  <c r="S38" i="32"/>
  <c r="Q39" i="32"/>
  <c r="S39" i="32"/>
  <c r="O40" i="32"/>
  <c r="S40" i="32"/>
  <c r="Q41" i="32"/>
  <c r="S41" i="32"/>
  <c r="S42" i="32"/>
  <c r="O43" i="32"/>
  <c r="S43" i="32"/>
  <c r="O44" i="32"/>
  <c r="S44" i="32"/>
  <c r="Q29" i="32"/>
  <c r="O29" i="32"/>
  <c r="Q21" i="32"/>
  <c r="R21" i="32" s="1"/>
  <c r="Q20" i="32"/>
  <c r="Q19" i="32"/>
  <c r="Q18" i="32"/>
  <c r="Q10" i="32"/>
  <c r="R10" i="32" s="1"/>
  <c r="Q8" i="32"/>
  <c r="Q7" i="32"/>
  <c r="R7" i="32" s="1"/>
  <c r="Q14" i="32"/>
  <c r="Q9" i="32"/>
  <c r="R9" i="32" s="1"/>
  <c r="Q11" i="32"/>
  <c r="Q12" i="32"/>
  <c r="Q13" i="32"/>
  <c r="Q15" i="32"/>
  <c r="R15" i="32" s="1"/>
  <c r="Q16" i="32"/>
  <c r="Q17" i="32"/>
  <c r="Q6" i="32"/>
  <c r="S29" i="32"/>
  <c r="Q7" i="46"/>
  <c r="Q8" i="46"/>
  <c r="Q9" i="46"/>
  <c r="Q10" i="46"/>
  <c r="Q11" i="46"/>
  <c r="Q12" i="46"/>
  <c r="Q13" i="46"/>
  <c r="Q14" i="46"/>
  <c r="Q15" i="46"/>
  <c r="Q16" i="46"/>
  <c r="Q17" i="46"/>
  <c r="Q18" i="46"/>
  <c r="Q19" i="46"/>
  <c r="Q20" i="46"/>
  <c r="Q21" i="46"/>
  <c r="O21" i="46"/>
  <c r="O20" i="46"/>
  <c r="O17" i="46"/>
  <c r="P17" i="46" s="1"/>
  <c r="O16" i="46"/>
  <c r="P16" i="46" s="1"/>
  <c r="O15" i="46"/>
  <c r="P15" i="46" s="1"/>
  <c r="O14" i="46"/>
  <c r="O13" i="46"/>
  <c r="O12" i="46"/>
  <c r="O9" i="46"/>
  <c r="O8" i="46"/>
  <c r="P8" i="46" s="1"/>
  <c r="O7" i="46"/>
  <c r="P7" i="46" s="1"/>
  <c r="O11" i="46"/>
  <c r="O19" i="46"/>
  <c r="S8" i="46"/>
  <c r="S9" i="46"/>
  <c r="S10" i="46" s="1"/>
  <c r="S11" i="46" s="1"/>
  <c r="S12" i="46" s="1"/>
  <c r="S13" i="46" s="1"/>
  <c r="S14" i="46" s="1"/>
  <c r="S15" i="46" s="1"/>
  <c r="S16" i="46" s="1"/>
  <c r="S17" i="46" s="1"/>
  <c r="S18" i="46" s="1"/>
  <c r="S19" i="46" s="1"/>
  <c r="S20" i="46" s="1"/>
  <c r="S21" i="46" s="1"/>
  <c r="S7" i="46"/>
  <c r="Q6" i="46"/>
  <c r="O6" i="46"/>
  <c r="O18" i="46"/>
  <c r="O10" i="46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Q7" i="28"/>
  <c r="R7" i="28" s="1"/>
  <c r="Q8" i="28"/>
  <c r="R8" i="28" s="1"/>
  <c r="Q9" i="28"/>
  <c r="R9" i="28" s="1"/>
  <c r="Q10" i="28"/>
  <c r="R10" i="28" s="1"/>
  <c r="Q11" i="28"/>
  <c r="R11" i="28" s="1"/>
  <c r="Q12" i="28"/>
  <c r="R12" i="28" s="1"/>
  <c r="Q13" i="28"/>
  <c r="R13" i="28" s="1"/>
  <c r="Q14" i="28"/>
  <c r="R14" i="28" s="1"/>
  <c r="Q15" i="28"/>
  <c r="R15" i="28" s="1"/>
  <c r="Q16" i="28"/>
  <c r="R16" i="28" s="1"/>
  <c r="Q17" i="28"/>
  <c r="R17" i="28" s="1"/>
  <c r="Q18" i="28"/>
  <c r="R18" i="28" s="1"/>
  <c r="Q19" i="28"/>
  <c r="R19" i="28" s="1"/>
  <c r="Q20" i="28"/>
  <c r="R20" i="28" s="1"/>
  <c r="Q21" i="28"/>
  <c r="R21" i="28" s="1"/>
  <c r="T16" i="28" l="1"/>
  <c r="V16" i="28" s="1"/>
  <c r="T9" i="28"/>
  <c r="V9" i="28" s="1"/>
  <c r="V9" i="67"/>
  <c r="X9" i="67" s="1"/>
  <c r="T14" i="28"/>
  <c r="V14" i="28" s="1"/>
  <c r="T15" i="28"/>
  <c r="V15" i="28" s="1"/>
  <c r="V17" i="67"/>
  <c r="X17" i="67" s="1"/>
  <c r="T13" i="28"/>
  <c r="V13" i="28" s="1"/>
  <c r="R14" i="58"/>
  <c r="T7" i="28"/>
  <c r="V7" i="28" s="1"/>
  <c r="V20" i="67"/>
  <c r="X20" i="67" s="1"/>
  <c r="R6" i="32"/>
  <c r="T6" i="32" s="1"/>
  <c r="T21" i="28"/>
  <c r="V21" i="28" s="1"/>
  <c r="T6" i="67"/>
  <c r="V6" i="67" s="1"/>
  <c r="X6" i="67" s="1"/>
  <c r="T30" i="67"/>
  <c r="V30" i="67" s="1"/>
  <c r="X30" i="67" s="1"/>
  <c r="P29" i="32"/>
  <c r="R29" i="32" s="1"/>
  <c r="T29" i="32" s="1"/>
  <c r="O6" i="74"/>
  <c r="Q6" i="74" s="1"/>
  <c r="S6" i="74" s="1"/>
  <c r="T8" i="28"/>
  <c r="V8" i="28" s="1"/>
  <c r="P6" i="65"/>
  <c r="R6" i="65" s="1"/>
  <c r="T6" i="65" s="1"/>
  <c r="V14" i="67"/>
  <c r="X14" i="67" s="1"/>
  <c r="T17" i="28"/>
  <c r="V17" i="28" s="1"/>
  <c r="AC29" i="50"/>
  <c r="AF29" i="50" s="1"/>
  <c r="AF43" i="50"/>
  <c r="AF42" i="50"/>
  <c r="AC41" i="50"/>
  <c r="AF41" i="50" s="1"/>
  <c r="AF39" i="50"/>
  <c r="AF38" i="50"/>
  <c r="AC34" i="50"/>
  <c r="AF34" i="50" s="1"/>
  <c r="AF33" i="50"/>
  <c r="AF31" i="50"/>
  <c r="V12" i="67"/>
  <c r="X12" i="67" s="1"/>
  <c r="S6" i="58"/>
  <c r="S14" i="58"/>
  <c r="T14" i="58" s="1"/>
  <c r="S21" i="58"/>
  <c r="S13" i="58"/>
  <c r="S20" i="58"/>
  <c r="S12" i="58"/>
  <c r="S19" i="58"/>
  <c r="S11" i="58"/>
  <c r="S18" i="58"/>
  <c r="S10" i="58"/>
  <c r="O9" i="74"/>
  <c r="Q9" i="74" s="1"/>
  <c r="S9" i="74" s="1"/>
  <c r="N21" i="76"/>
  <c r="P21" i="76" s="1"/>
  <c r="R21" i="76" s="1"/>
  <c r="P21" i="65"/>
  <c r="R21" i="65" s="1"/>
  <c r="T21" i="65" s="1"/>
  <c r="P15" i="65"/>
  <c r="R15" i="65" s="1"/>
  <c r="T15" i="65" s="1"/>
  <c r="X42" i="67"/>
  <c r="X39" i="67"/>
  <c r="X40" i="67"/>
  <c r="X38" i="67"/>
  <c r="V31" i="67"/>
  <c r="X31" i="67" s="1"/>
  <c r="R10" i="47"/>
  <c r="R13" i="47"/>
  <c r="R17" i="47"/>
  <c r="R6" i="47"/>
  <c r="R9" i="47"/>
  <c r="R18" i="47"/>
  <c r="R21" i="47"/>
  <c r="R14" i="47"/>
  <c r="X43" i="67"/>
  <c r="V45" i="67"/>
  <c r="X45" i="67" s="1"/>
  <c r="X41" i="67"/>
  <c r="P6" i="58"/>
  <c r="R6" i="58" s="1"/>
  <c r="P6" i="46"/>
  <c r="R6" i="46" s="1"/>
  <c r="T6" i="46" s="1"/>
  <c r="T37" i="67"/>
  <c r="T33" i="67"/>
  <c r="T21" i="67"/>
  <c r="V21" i="67" s="1"/>
  <c r="X21" i="67" s="1"/>
  <c r="T19" i="67"/>
  <c r="V19" i="67" s="1"/>
  <c r="X19" i="67" s="1"/>
  <c r="T18" i="67"/>
  <c r="V18" i="67" s="1"/>
  <c r="X18" i="67" s="1"/>
  <c r="T16" i="67"/>
  <c r="V16" i="67" s="1"/>
  <c r="X16" i="67" s="1"/>
  <c r="V15" i="67"/>
  <c r="X15" i="67" s="1"/>
  <c r="V13" i="67"/>
  <c r="X13" i="67" s="1"/>
  <c r="T11" i="67"/>
  <c r="V11" i="67" s="1"/>
  <c r="X11" i="67" s="1"/>
  <c r="T10" i="67"/>
  <c r="V10" i="67" s="1"/>
  <c r="X10" i="67" s="1"/>
  <c r="V8" i="67"/>
  <c r="X8" i="67" s="1"/>
  <c r="U7" i="67"/>
  <c r="V7" i="67" s="1"/>
  <c r="X7" i="67" s="1"/>
  <c r="X44" i="67"/>
  <c r="P20" i="65"/>
  <c r="R20" i="65" s="1"/>
  <c r="T20" i="65" s="1"/>
  <c r="P12" i="65"/>
  <c r="R12" i="65" s="1"/>
  <c r="T12" i="65" s="1"/>
  <c r="P8" i="65"/>
  <c r="R8" i="65" s="1"/>
  <c r="T8" i="65" s="1"/>
  <c r="P16" i="65"/>
  <c r="R16" i="65" s="1"/>
  <c r="T16" i="65" s="1"/>
  <c r="P13" i="65"/>
  <c r="R13" i="65" s="1"/>
  <c r="T13" i="65" s="1"/>
  <c r="P19" i="65"/>
  <c r="R19" i="65" s="1"/>
  <c r="T19" i="65" s="1"/>
  <c r="R17" i="65"/>
  <c r="T17" i="65" s="1"/>
  <c r="P7" i="65"/>
  <c r="R7" i="65" s="1"/>
  <c r="T7" i="65" s="1"/>
  <c r="P18" i="65"/>
  <c r="R18" i="65" s="1"/>
  <c r="T18" i="65" s="1"/>
  <c r="P14" i="65"/>
  <c r="R14" i="65" s="1"/>
  <c r="T14" i="65" s="1"/>
  <c r="P9" i="65"/>
  <c r="R9" i="65" s="1"/>
  <c r="T9" i="65" s="1"/>
  <c r="P10" i="65"/>
  <c r="R10" i="65" s="1"/>
  <c r="T10" i="65" s="1"/>
  <c r="P11" i="65"/>
  <c r="R11" i="65" s="1"/>
  <c r="T11" i="65" s="1"/>
  <c r="N20" i="76"/>
  <c r="P20" i="76" s="1"/>
  <c r="R20" i="76" s="1"/>
  <c r="P19" i="76"/>
  <c r="R19" i="76" s="1"/>
  <c r="N17" i="76"/>
  <c r="P17" i="76" s="1"/>
  <c r="R17" i="76" s="1"/>
  <c r="N16" i="76"/>
  <c r="P16" i="76" s="1"/>
  <c r="R16" i="76" s="1"/>
  <c r="P15" i="76"/>
  <c r="R15" i="76" s="1"/>
  <c r="P12" i="76"/>
  <c r="R12" i="76" s="1"/>
  <c r="N9" i="76"/>
  <c r="P9" i="76" s="1"/>
  <c r="R9" i="76" s="1"/>
  <c r="N8" i="76"/>
  <c r="P8" i="76" s="1"/>
  <c r="R8" i="76" s="1"/>
  <c r="P7" i="76"/>
  <c r="R7" i="76" s="1"/>
  <c r="P13" i="76"/>
  <c r="R13" i="76" s="1"/>
  <c r="N18" i="76"/>
  <c r="P18" i="76" s="1"/>
  <c r="R18" i="76" s="1"/>
  <c r="O14" i="76"/>
  <c r="P14" i="76" s="1"/>
  <c r="R14" i="76" s="1"/>
  <c r="P11" i="76"/>
  <c r="R11" i="76" s="1"/>
  <c r="N10" i="76"/>
  <c r="P10" i="76" s="1"/>
  <c r="R10" i="76" s="1"/>
  <c r="N6" i="76"/>
  <c r="P6" i="76" s="1"/>
  <c r="R6" i="76" s="1"/>
  <c r="R12" i="39"/>
  <c r="T12" i="39" s="1"/>
  <c r="P20" i="39"/>
  <c r="R20" i="39" s="1"/>
  <c r="T20" i="39" s="1"/>
  <c r="P18" i="39"/>
  <c r="R18" i="39" s="1"/>
  <c r="T18" i="39" s="1"/>
  <c r="P17" i="39"/>
  <c r="R17" i="39" s="1"/>
  <c r="T17" i="39" s="1"/>
  <c r="P16" i="39"/>
  <c r="R16" i="39" s="1"/>
  <c r="T16" i="39" s="1"/>
  <c r="P15" i="39"/>
  <c r="R15" i="39" s="1"/>
  <c r="T15" i="39" s="1"/>
  <c r="R14" i="39"/>
  <c r="T14" i="39" s="1"/>
  <c r="R13" i="39"/>
  <c r="T13" i="39" s="1"/>
  <c r="R11" i="39"/>
  <c r="T11" i="39" s="1"/>
  <c r="R21" i="39"/>
  <c r="T21" i="39" s="1"/>
  <c r="R7" i="39"/>
  <c r="T7" i="39" s="1"/>
  <c r="R19" i="39"/>
  <c r="T19" i="39" s="1"/>
  <c r="R10" i="39"/>
  <c r="T10" i="39" s="1"/>
  <c r="R9" i="39"/>
  <c r="T9" i="39" s="1"/>
  <c r="R6" i="39"/>
  <c r="T6" i="39" s="1"/>
  <c r="O20" i="74"/>
  <c r="Q20" i="74" s="1"/>
  <c r="S20" i="74" s="1"/>
  <c r="O19" i="74"/>
  <c r="Q19" i="74" s="1"/>
  <c r="S19" i="74" s="1"/>
  <c r="O16" i="74"/>
  <c r="Q16" i="74" s="1"/>
  <c r="S16" i="74" s="1"/>
  <c r="O13" i="74"/>
  <c r="Q13" i="74" s="1"/>
  <c r="S13" i="74" s="1"/>
  <c r="O12" i="74"/>
  <c r="Q12" i="74" s="1"/>
  <c r="S12" i="74" s="1"/>
  <c r="Q8" i="74"/>
  <c r="S8" i="74" s="1"/>
  <c r="O21" i="74"/>
  <c r="Q21" i="74" s="1"/>
  <c r="S21" i="74" s="1"/>
  <c r="O10" i="74"/>
  <c r="Q10" i="74" s="1"/>
  <c r="S10" i="74" s="1"/>
  <c r="O11" i="74"/>
  <c r="Q11" i="74" s="1"/>
  <c r="S11" i="74" s="1"/>
  <c r="O17" i="74"/>
  <c r="Q17" i="74" s="1"/>
  <c r="S17" i="74" s="1"/>
  <c r="O18" i="74"/>
  <c r="Q18" i="74" s="1"/>
  <c r="S18" i="74" s="1"/>
  <c r="O14" i="74"/>
  <c r="Q14" i="74" s="1"/>
  <c r="S14" i="74" s="1"/>
  <c r="Q7" i="74"/>
  <c r="S7" i="74" s="1"/>
  <c r="Q15" i="74"/>
  <c r="S15" i="74" s="1"/>
  <c r="P20" i="58"/>
  <c r="R19" i="58"/>
  <c r="P18" i="58"/>
  <c r="R17" i="58"/>
  <c r="T17" i="58" s="1"/>
  <c r="P16" i="58"/>
  <c r="P12" i="58"/>
  <c r="P10" i="58"/>
  <c r="R8" i="58"/>
  <c r="T8" i="58" s="1"/>
  <c r="R7" i="58"/>
  <c r="T7" i="58" s="1"/>
  <c r="P21" i="58"/>
  <c r="R21" i="58" s="1"/>
  <c r="Q18" i="58"/>
  <c r="P13" i="58"/>
  <c r="R13" i="58" s="1"/>
  <c r="P11" i="58"/>
  <c r="R11" i="58" s="1"/>
  <c r="Q10" i="58"/>
  <c r="P9" i="58"/>
  <c r="R9" i="58" s="1"/>
  <c r="T9" i="58" s="1"/>
  <c r="R15" i="58"/>
  <c r="T15" i="58" s="1"/>
  <c r="Q20" i="58"/>
  <c r="Q16" i="58"/>
  <c r="Q12" i="58"/>
  <c r="P44" i="32"/>
  <c r="R44" i="32" s="1"/>
  <c r="T44" i="32" s="1"/>
  <c r="P43" i="32"/>
  <c r="R43" i="32" s="1"/>
  <c r="T43" i="32" s="1"/>
  <c r="P42" i="32"/>
  <c r="R42" i="32" s="1"/>
  <c r="T42" i="32" s="1"/>
  <c r="P40" i="32"/>
  <c r="R40" i="32" s="1"/>
  <c r="T40" i="32" s="1"/>
  <c r="P38" i="32"/>
  <c r="R38" i="32" s="1"/>
  <c r="T38" i="32" s="1"/>
  <c r="P37" i="32"/>
  <c r="R37" i="32" s="1"/>
  <c r="T37" i="32" s="1"/>
  <c r="P36" i="32"/>
  <c r="R36" i="32" s="1"/>
  <c r="T36" i="32" s="1"/>
  <c r="P35" i="32"/>
  <c r="R35" i="32" s="1"/>
  <c r="T35" i="32" s="1"/>
  <c r="P33" i="32"/>
  <c r="R33" i="32" s="1"/>
  <c r="T33" i="32" s="1"/>
  <c r="P32" i="32"/>
  <c r="R32" i="32" s="1"/>
  <c r="T32" i="32" s="1"/>
  <c r="P31" i="32"/>
  <c r="R31" i="32" s="1"/>
  <c r="T31" i="32" s="1"/>
  <c r="P30" i="32"/>
  <c r="R30" i="32" s="1"/>
  <c r="T30" i="32" s="1"/>
  <c r="R41" i="32"/>
  <c r="T41" i="32" s="1"/>
  <c r="R34" i="32"/>
  <c r="T34" i="32" s="1"/>
  <c r="R39" i="32"/>
  <c r="T39" i="32" s="1"/>
  <c r="T10" i="32"/>
  <c r="R19" i="32"/>
  <c r="T19" i="32" s="1"/>
  <c r="R18" i="32"/>
  <c r="T18" i="32" s="1"/>
  <c r="R17" i="32"/>
  <c r="T17" i="32" s="1"/>
  <c r="R12" i="32"/>
  <c r="T12" i="32" s="1"/>
  <c r="R11" i="32"/>
  <c r="T11" i="32" s="1"/>
  <c r="R14" i="32"/>
  <c r="T14" i="32" s="1"/>
  <c r="R8" i="32"/>
  <c r="T8" i="32" s="1"/>
  <c r="R16" i="32"/>
  <c r="T16" i="32" s="1"/>
  <c r="R13" i="32"/>
  <c r="T13" i="32" s="1"/>
  <c r="R20" i="32"/>
  <c r="T20" i="32" s="1"/>
  <c r="T21" i="32"/>
  <c r="T15" i="32"/>
  <c r="T9" i="32"/>
  <c r="T7" i="32"/>
  <c r="P21" i="46"/>
  <c r="R21" i="46" s="1"/>
  <c r="T21" i="46" s="1"/>
  <c r="P20" i="46"/>
  <c r="R20" i="46" s="1"/>
  <c r="T20" i="46" s="1"/>
  <c r="P19" i="46"/>
  <c r="R19" i="46" s="1"/>
  <c r="T19" i="46" s="1"/>
  <c r="P18" i="46"/>
  <c r="R18" i="46" s="1"/>
  <c r="T18" i="46" s="1"/>
  <c r="P13" i="46"/>
  <c r="R13" i="46" s="1"/>
  <c r="T13" i="46" s="1"/>
  <c r="P12" i="46"/>
  <c r="R12" i="46" s="1"/>
  <c r="T12" i="46" s="1"/>
  <c r="P11" i="46"/>
  <c r="R11" i="46" s="1"/>
  <c r="T11" i="46" s="1"/>
  <c r="P9" i="46"/>
  <c r="R9" i="46" s="1"/>
  <c r="T9" i="46" s="1"/>
  <c r="P14" i="46"/>
  <c r="R14" i="46" s="1"/>
  <c r="T14" i="46" s="1"/>
  <c r="R17" i="46"/>
  <c r="T17" i="46" s="1"/>
  <c r="P10" i="46"/>
  <c r="R10" i="46" s="1"/>
  <c r="T10" i="46" s="1"/>
  <c r="R16" i="46"/>
  <c r="T16" i="46" s="1"/>
  <c r="R15" i="46"/>
  <c r="T15" i="46" s="1"/>
  <c r="R8" i="46"/>
  <c r="T8" i="46" s="1"/>
  <c r="R7" i="46"/>
  <c r="T7" i="46" s="1"/>
  <c r="T20" i="28"/>
  <c r="V20" i="28" s="1"/>
  <c r="T12" i="28"/>
  <c r="V12" i="28" s="1"/>
  <c r="T11" i="28"/>
  <c r="V11" i="28" s="1"/>
  <c r="T19" i="28"/>
  <c r="V19" i="28" s="1"/>
  <c r="T10" i="28"/>
  <c r="V10" i="28" s="1"/>
  <c r="T18" i="28"/>
  <c r="V18" i="28" s="1"/>
  <c r="O17" i="71"/>
  <c r="O18" i="71" s="1"/>
  <c r="O40" i="49"/>
  <c r="O41" i="49" s="1"/>
  <c r="P40" i="49"/>
  <c r="P41" i="49" s="1"/>
  <c r="P40" i="82"/>
  <c r="P41" i="82" s="1"/>
  <c r="O40" i="82"/>
  <c r="O41" i="82" s="1"/>
  <c r="T6" i="58" l="1"/>
  <c r="T11" i="58"/>
  <c r="V37" i="67"/>
  <c r="X37" i="67" s="1"/>
  <c r="V33" i="67"/>
  <c r="X33" i="67" s="1"/>
  <c r="T13" i="58"/>
  <c r="T21" i="58"/>
  <c r="T19" i="58"/>
  <c r="R20" i="58"/>
  <c r="T20" i="58" s="1"/>
  <c r="R18" i="58"/>
  <c r="T18" i="58" s="1"/>
  <c r="R16" i="58"/>
  <c r="T16" i="58" s="1"/>
  <c r="R12" i="58"/>
  <c r="T12" i="58" s="1"/>
  <c r="R10" i="58"/>
  <c r="T10" i="58" s="1"/>
  <c r="X21" i="28" l="1"/>
  <c r="Y21" i="28" s="1"/>
  <c r="P33" i="31"/>
  <c r="P34" i="31" s="1"/>
  <c r="P35" i="31" s="1"/>
  <c r="O33" i="31"/>
  <c r="N33" i="31"/>
  <c r="N34" i="31" s="1"/>
  <c r="N35" i="31" s="1"/>
  <c r="V44" i="32"/>
  <c r="W44" i="32" s="1"/>
  <c r="V21" i="32"/>
  <c r="W21" i="32" s="1"/>
  <c r="U21" i="33"/>
  <c r="V21" i="33" s="1"/>
  <c r="U21" i="34"/>
  <c r="V21" i="34" s="1"/>
  <c r="U21" i="35"/>
  <c r="V21" i="35" s="1"/>
  <c r="U21" i="37"/>
  <c r="V21" i="37" s="1"/>
  <c r="U21" i="38"/>
  <c r="V21" i="38" s="1"/>
  <c r="V21" i="39"/>
  <c r="W21" i="39" s="1"/>
  <c r="V21" i="40"/>
  <c r="W21" i="40" s="1"/>
  <c r="P40" i="55"/>
  <c r="P41" i="55" s="1"/>
  <c r="P42" i="55" s="1"/>
  <c r="P43" i="55" s="1"/>
  <c r="O40" i="55"/>
  <c r="O41" i="55" s="1"/>
  <c r="O42" i="55" s="1"/>
  <c r="O43" i="55" s="1"/>
  <c r="P13" i="50"/>
  <c r="V21" i="57"/>
  <c r="W21" i="57" s="1"/>
  <c r="V21" i="58"/>
  <c r="W21" i="58" s="1"/>
  <c r="U21" i="74"/>
  <c r="V21" i="74" s="1"/>
  <c r="U21" i="41"/>
  <c r="V21" i="41" s="1"/>
  <c r="V21" i="44"/>
  <c r="W21" i="44" s="1"/>
  <c r="V21" i="45"/>
  <c r="W21" i="45" s="1"/>
  <c r="V21" i="46"/>
  <c r="V21" i="79"/>
  <c r="W21" i="79" s="1"/>
  <c r="T21" i="47"/>
  <c r="U21" i="47" s="1"/>
  <c r="T21" i="76"/>
  <c r="U21" i="76" s="1"/>
  <c r="V21" i="65"/>
  <c r="W21" i="65" s="1"/>
  <c r="Z45" i="67"/>
  <c r="AA45" i="67" s="1"/>
  <c r="Z21" i="67"/>
  <c r="AA21" i="67" s="1"/>
  <c r="V21" i="48"/>
  <c r="W21" i="48" s="1"/>
  <c r="AD21" i="49"/>
  <c r="AE21" i="49" s="1"/>
  <c r="AD67" i="82"/>
  <c r="AE67" i="82" s="1"/>
  <c r="AD44" i="82"/>
  <c r="AE44" i="82" s="1"/>
  <c r="AD21" i="82"/>
  <c r="AE21" i="82" s="1"/>
  <c r="X20" i="28"/>
  <c r="Y20" i="28" s="1"/>
  <c r="V43" i="32"/>
  <c r="W43" i="32" s="1"/>
  <c r="V20" i="32"/>
  <c r="W20" i="32" s="1"/>
  <c r="U20" i="33"/>
  <c r="V20" i="33" s="1"/>
  <c r="U20" i="34"/>
  <c r="V20" i="34" s="1"/>
  <c r="U20" i="35"/>
  <c r="V20" i="35" s="1"/>
  <c r="U20" i="37"/>
  <c r="V20" i="37" s="1"/>
  <c r="U20" i="38"/>
  <c r="V20" i="38" s="1"/>
  <c r="V20" i="39"/>
  <c r="W20" i="39" s="1"/>
  <c r="V20" i="40"/>
  <c r="W20" i="40" s="1"/>
  <c r="V20" i="57"/>
  <c r="W20" i="57" s="1"/>
  <c r="V20" i="58"/>
  <c r="W20" i="58" s="1"/>
  <c r="U20" i="74"/>
  <c r="V20" i="74" s="1"/>
  <c r="U20" i="41"/>
  <c r="V20" i="41" s="1"/>
  <c r="V20" i="44"/>
  <c r="W20" i="44" s="1"/>
  <c r="V20" i="45"/>
  <c r="W20" i="45" s="1"/>
  <c r="V20" i="46"/>
  <c r="V20" i="79"/>
  <c r="W20" i="79" s="1"/>
  <c r="T20" i="47"/>
  <c r="U20" i="47" s="1"/>
  <c r="T20" i="76"/>
  <c r="U20" i="76" s="1"/>
  <c r="V20" i="65"/>
  <c r="W20" i="65" s="1"/>
  <c r="Z44" i="67"/>
  <c r="AA44" i="67" s="1"/>
  <c r="Z20" i="67"/>
  <c r="AA20" i="67" s="1"/>
  <c r="V20" i="48"/>
  <c r="W20" i="48" s="1"/>
  <c r="AD20" i="49"/>
  <c r="AE20" i="49" s="1"/>
  <c r="AD66" i="82"/>
  <c r="AE66" i="82" s="1"/>
  <c r="AD43" i="82"/>
  <c r="AE43" i="82" s="1"/>
  <c r="AD20" i="82"/>
  <c r="AE20" i="82" s="1"/>
  <c r="X19" i="28"/>
  <c r="Y19" i="28" s="1"/>
  <c r="V42" i="32"/>
  <c r="W42" i="32" s="1"/>
  <c r="V19" i="32"/>
  <c r="W19" i="32" s="1"/>
  <c r="U19" i="33"/>
  <c r="V19" i="33" s="1"/>
  <c r="U19" i="34"/>
  <c r="V19" i="34" s="1"/>
  <c r="U19" i="35"/>
  <c r="V19" i="35" s="1"/>
  <c r="U19" i="37"/>
  <c r="V19" i="37" s="1"/>
  <c r="U19" i="38"/>
  <c r="V19" i="38" s="1"/>
  <c r="V19" i="39"/>
  <c r="W19" i="39" s="1"/>
  <c r="V19" i="40"/>
  <c r="W19" i="40" s="1"/>
  <c r="V19" i="57"/>
  <c r="W19" i="57" s="1"/>
  <c r="V19" i="58"/>
  <c r="W19" i="58" s="1"/>
  <c r="U19" i="74"/>
  <c r="V19" i="74" s="1"/>
  <c r="U19" i="41"/>
  <c r="V19" i="41" s="1"/>
  <c r="V19" i="44"/>
  <c r="W19" i="44" s="1"/>
  <c r="V19" i="45"/>
  <c r="W19" i="45" s="1"/>
  <c r="V19" i="46"/>
  <c r="V19" i="79"/>
  <c r="W19" i="79" s="1"/>
  <c r="T19" i="47"/>
  <c r="U19" i="47" s="1"/>
  <c r="T19" i="76"/>
  <c r="U19" i="76" s="1"/>
  <c r="V19" i="65"/>
  <c r="W19" i="65" s="1"/>
  <c r="Z43" i="67"/>
  <c r="AA43" i="67" s="1"/>
  <c r="Z19" i="67"/>
  <c r="AA19" i="67" s="1"/>
  <c r="V19" i="48"/>
  <c r="W19" i="48" s="1"/>
  <c r="AD19" i="49"/>
  <c r="AE19" i="49" s="1"/>
  <c r="AD65" i="82"/>
  <c r="AE65" i="82" s="1"/>
  <c r="AD42" i="82"/>
  <c r="AE42" i="82" s="1"/>
  <c r="AD19" i="82"/>
  <c r="AE19" i="82" s="1"/>
  <c r="X18" i="28"/>
  <c r="Y18" i="28" s="1"/>
  <c r="V41" i="32"/>
  <c r="W41" i="32" s="1"/>
  <c r="V18" i="32"/>
  <c r="W18" i="32" s="1"/>
  <c r="U18" i="33"/>
  <c r="V18" i="33" s="1"/>
  <c r="U18" i="34"/>
  <c r="V18" i="34" s="1"/>
  <c r="U18" i="35"/>
  <c r="V18" i="35" s="1"/>
  <c r="U18" i="37"/>
  <c r="V18" i="37" s="1"/>
  <c r="U18" i="38"/>
  <c r="V18" i="38" s="1"/>
  <c r="V18" i="39"/>
  <c r="W18" i="39" s="1"/>
  <c r="V18" i="40"/>
  <c r="W18" i="40" s="1"/>
  <c r="V18" i="57"/>
  <c r="W18" i="57" s="1"/>
  <c r="V18" i="58"/>
  <c r="W18" i="58" s="1"/>
  <c r="U18" i="74"/>
  <c r="V18" i="74" s="1"/>
  <c r="U18" i="41"/>
  <c r="V18" i="41" s="1"/>
  <c r="V18" i="44"/>
  <c r="W18" i="44" s="1"/>
  <c r="V18" i="45"/>
  <c r="W18" i="45" s="1"/>
  <c r="V18" i="46"/>
  <c r="V18" i="79"/>
  <c r="W18" i="79" s="1"/>
  <c r="T18" i="47"/>
  <c r="U18" i="47" s="1"/>
  <c r="T18" i="76"/>
  <c r="U18" i="76" s="1"/>
  <c r="V18" i="65"/>
  <c r="W18" i="65" s="1"/>
  <c r="Z42" i="67"/>
  <c r="AA42" i="67" s="1"/>
  <c r="Z18" i="67"/>
  <c r="AA18" i="67" s="1"/>
  <c r="V18" i="48"/>
  <c r="W18" i="48" s="1"/>
  <c r="AD18" i="49"/>
  <c r="AE18" i="49" s="1"/>
  <c r="AD64" i="82"/>
  <c r="AE64" i="82" s="1"/>
  <c r="AD41" i="82"/>
  <c r="AE41" i="82" s="1"/>
  <c r="AD18" i="82"/>
  <c r="AE18" i="82" s="1"/>
  <c r="X17" i="28"/>
  <c r="Y17" i="28" s="1"/>
  <c r="V40" i="32"/>
  <c r="W40" i="32" s="1"/>
  <c r="V17" i="32"/>
  <c r="W17" i="32" s="1"/>
  <c r="U17" i="33"/>
  <c r="V17" i="33" s="1"/>
  <c r="U17" i="34"/>
  <c r="V17" i="34" s="1"/>
  <c r="U17" i="35"/>
  <c r="V17" i="35" s="1"/>
  <c r="U17" i="37"/>
  <c r="V17" i="37" s="1"/>
  <c r="U17" i="38"/>
  <c r="V17" i="38" s="1"/>
  <c r="V17" i="39"/>
  <c r="W17" i="39" s="1"/>
  <c r="V17" i="40"/>
  <c r="W17" i="40" s="1"/>
  <c r="V17" i="57"/>
  <c r="W17" i="57" s="1"/>
  <c r="V17" i="58"/>
  <c r="W17" i="58" s="1"/>
  <c r="U17" i="74"/>
  <c r="V17" i="74" s="1"/>
  <c r="U17" i="41"/>
  <c r="V17" i="41" s="1"/>
  <c r="V17" i="44"/>
  <c r="W17" i="44" s="1"/>
  <c r="V17" i="45"/>
  <c r="W17" i="45" s="1"/>
  <c r="V17" i="46"/>
  <c r="V17" i="79"/>
  <c r="W17" i="79" s="1"/>
  <c r="T17" i="47"/>
  <c r="U17" i="47" s="1"/>
  <c r="T17" i="76"/>
  <c r="U17" i="76" s="1"/>
  <c r="V17" i="65"/>
  <c r="W17" i="65" s="1"/>
  <c r="Z41" i="67"/>
  <c r="AA41" i="67" s="1"/>
  <c r="Z17" i="67"/>
  <c r="AA17" i="67" s="1"/>
  <c r="V17" i="48"/>
  <c r="W17" i="48" s="1"/>
  <c r="AD17" i="49"/>
  <c r="AE17" i="49" s="1"/>
  <c r="AD63" i="82"/>
  <c r="AE63" i="82" s="1"/>
  <c r="AD40" i="82"/>
  <c r="AE40" i="82" s="1"/>
  <c r="AD17" i="82"/>
  <c r="AE17" i="82" s="1"/>
  <c r="X16" i="28"/>
  <c r="Y16" i="28" s="1"/>
  <c r="V39" i="32"/>
  <c r="W39" i="32" s="1"/>
  <c r="V16" i="32"/>
  <c r="W16" i="32" s="1"/>
  <c r="U16" i="33"/>
  <c r="V16" i="33" s="1"/>
  <c r="U16" i="34"/>
  <c r="V16" i="34" s="1"/>
  <c r="U16" i="35"/>
  <c r="V16" i="35" s="1"/>
  <c r="U16" i="37"/>
  <c r="V16" i="37" s="1"/>
  <c r="U16" i="38"/>
  <c r="V16" i="38" s="1"/>
  <c r="V16" i="39"/>
  <c r="W16" i="39" s="1"/>
  <c r="V16" i="40"/>
  <c r="W16" i="40" s="1"/>
  <c r="V16" i="57"/>
  <c r="W16" i="57" s="1"/>
  <c r="V16" i="58"/>
  <c r="W16" i="58" s="1"/>
  <c r="U16" i="74"/>
  <c r="V16" i="74" s="1"/>
  <c r="U16" i="41"/>
  <c r="V16" i="41" s="1"/>
  <c r="V16" i="44"/>
  <c r="W16" i="44" s="1"/>
  <c r="V16" i="45"/>
  <c r="W16" i="45" s="1"/>
  <c r="V16" i="46"/>
  <c r="V16" i="79"/>
  <c r="W16" i="79" s="1"/>
  <c r="T16" i="47"/>
  <c r="U16" i="47" s="1"/>
  <c r="T16" i="76"/>
  <c r="U16" i="76" s="1"/>
  <c r="V16" i="65"/>
  <c r="W16" i="65" s="1"/>
  <c r="Z40" i="67"/>
  <c r="AA40" i="67" s="1"/>
  <c r="Z16" i="67"/>
  <c r="AA16" i="67" s="1"/>
  <c r="V16" i="48"/>
  <c r="W16" i="48" s="1"/>
  <c r="AD16" i="49"/>
  <c r="AE16" i="49" s="1"/>
  <c r="AD62" i="82"/>
  <c r="AE62" i="82" s="1"/>
  <c r="AD39" i="82"/>
  <c r="AE39" i="82" s="1"/>
  <c r="AD16" i="82"/>
  <c r="AE16" i="82" s="1"/>
  <c r="X15" i="28"/>
  <c r="Y15" i="28" s="1"/>
  <c r="V38" i="32"/>
  <c r="W38" i="32" s="1"/>
  <c r="V15" i="32"/>
  <c r="W15" i="32" s="1"/>
  <c r="U15" i="33"/>
  <c r="V15" i="33" s="1"/>
  <c r="U15" i="34"/>
  <c r="V15" i="34" s="1"/>
  <c r="U15" i="35"/>
  <c r="V15" i="35" s="1"/>
  <c r="U15" i="37"/>
  <c r="V15" i="37" s="1"/>
  <c r="U15" i="38"/>
  <c r="V15" i="38" s="1"/>
  <c r="V15" i="39"/>
  <c r="W15" i="39" s="1"/>
  <c r="V15" i="40"/>
  <c r="W15" i="40" s="1"/>
  <c r="V15" i="57"/>
  <c r="W15" i="57" s="1"/>
  <c r="V15" i="58"/>
  <c r="W15" i="58" s="1"/>
  <c r="U15" i="74"/>
  <c r="V15" i="74" s="1"/>
  <c r="U15" i="41"/>
  <c r="V15" i="41" s="1"/>
  <c r="V15" i="44"/>
  <c r="W15" i="44" s="1"/>
  <c r="V15" i="45"/>
  <c r="W15" i="45" s="1"/>
  <c r="V15" i="46"/>
  <c r="V15" i="79"/>
  <c r="W15" i="79" s="1"/>
  <c r="T15" i="47"/>
  <c r="U15" i="47" s="1"/>
  <c r="T15" i="76"/>
  <c r="U15" i="76" s="1"/>
  <c r="V15" i="65"/>
  <c r="W15" i="65" s="1"/>
  <c r="Z39" i="67"/>
  <c r="AA39" i="67" s="1"/>
  <c r="Z15" i="67"/>
  <c r="AA15" i="67" s="1"/>
  <c r="V15" i="48"/>
  <c r="W15" i="48" s="1"/>
  <c r="AD15" i="49"/>
  <c r="AE15" i="49" s="1"/>
  <c r="AD61" i="82"/>
  <c r="AE61" i="82" s="1"/>
  <c r="AD38" i="82"/>
  <c r="AE38" i="82" s="1"/>
  <c r="AD15" i="82"/>
  <c r="AE15" i="82" s="1"/>
  <c r="X14" i="28"/>
  <c r="Y14" i="28" s="1"/>
  <c r="V37" i="32"/>
  <c r="W37" i="32" s="1"/>
  <c r="V14" i="32"/>
  <c r="W14" i="32" s="1"/>
  <c r="U14" i="33"/>
  <c r="V14" i="33" s="1"/>
  <c r="U14" i="34"/>
  <c r="V14" i="34" s="1"/>
  <c r="U14" i="35"/>
  <c r="V14" i="35" s="1"/>
  <c r="U14" i="37"/>
  <c r="V14" i="37" s="1"/>
  <c r="U14" i="38"/>
  <c r="V14" i="38" s="1"/>
  <c r="V14" i="39"/>
  <c r="W14" i="39" s="1"/>
  <c r="V14" i="40"/>
  <c r="W14" i="40" s="1"/>
  <c r="V14" i="57"/>
  <c r="W14" i="57" s="1"/>
  <c r="V14" i="58"/>
  <c r="W14" i="58" s="1"/>
  <c r="U14" i="74"/>
  <c r="V14" i="74" s="1"/>
  <c r="U14" i="41"/>
  <c r="V14" i="41" s="1"/>
  <c r="V14" i="44"/>
  <c r="W14" i="44" s="1"/>
  <c r="V14" i="45"/>
  <c r="W14" i="45" s="1"/>
  <c r="V14" i="46"/>
  <c r="V14" i="79"/>
  <c r="W14" i="79" s="1"/>
  <c r="T14" i="47"/>
  <c r="U14" i="47" s="1"/>
  <c r="T14" i="76"/>
  <c r="U14" i="76" s="1"/>
  <c r="V14" i="65"/>
  <c r="W14" i="65" s="1"/>
  <c r="Z38" i="67"/>
  <c r="AA38" i="67" s="1"/>
  <c r="Z14" i="67"/>
  <c r="AA14" i="67" s="1"/>
  <c r="V14" i="48"/>
  <c r="W14" i="48" s="1"/>
  <c r="AD14" i="49"/>
  <c r="AE14" i="49" s="1"/>
  <c r="AD60" i="82"/>
  <c r="AE60" i="82" s="1"/>
  <c r="AD37" i="82"/>
  <c r="AE37" i="82" s="1"/>
  <c r="AD14" i="82"/>
  <c r="AE14" i="82" s="1"/>
  <c r="X13" i="28"/>
  <c r="Y13" i="28" s="1"/>
  <c r="V36" i="32"/>
  <c r="W36" i="32" s="1"/>
  <c r="V13" i="32"/>
  <c r="W13" i="32" s="1"/>
  <c r="U13" i="33"/>
  <c r="V13" i="33" s="1"/>
  <c r="U13" i="34"/>
  <c r="V13" i="34" s="1"/>
  <c r="U13" i="35"/>
  <c r="V13" i="35" s="1"/>
  <c r="U13" i="37"/>
  <c r="V13" i="37" s="1"/>
  <c r="U13" i="38"/>
  <c r="V13" i="38" s="1"/>
  <c r="V13" i="39"/>
  <c r="W13" i="39" s="1"/>
  <c r="V13" i="40"/>
  <c r="W13" i="40" s="1"/>
  <c r="V13" i="57"/>
  <c r="W13" i="57" s="1"/>
  <c r="V13" i="58"/>
  <c r="W13" i="58" s="1"/>
  <c r="U13" i="74"/>
  <c r="V13" i="74" s="1"/>
  <c r="U13" i="41"/>
  <c r="V13" i="41" s="1"/>
  <c r="V13" i="44"/>
  <c r="W13" i="44" s="1"/>
  <c r="V13" i="45"/>
  <c r="W13" i="45" s="1"/>
  <c r="V13" i="46"/>
  <c r="V13" i="79"/>
  <c r="W13" i="79" s="1"/>
  <c r="T13" i="47"/>
  <c r="U13" i="47" s="1"/>
  <c r="T13" i="76"/>
  <c r="U13" i="76" s="1"/>
  <c r="V13" i="65"/>
  <c r="W13" i="65" s="1"/>
  <c r="Z37" i="67"/>
  <c r="AA37" i="67" s="1"/>
  <c r="Z13" i="67"/>
  <c r="AA13" i="67" s="1"/>
  <c r="V13" i="48"/>
  <c r="W13" i="48" s="1"/>
  <c r="AD13" i="49"/>
  <c r="AE13" i="49" s="1"/>
  <c r="AD59" i="82"/>
  <c r="AE59" i="82" s="1"/>
  <c r="AD36" i="82"/>
  <c r="AE36" i="82" s="1"/>
  <c r="AD13" i="82"/>
  <c r="AE13" i="82" s="1"/>
  <c r="X12" i="28"/>
  <c r="Y12" i="28" s="1"/>
  <c r="V35" i="32"/>
  <c r="W35" i="32" s="1"/>
  <c r="V12" i="32"/>
  <c r="W12" i="32" s="1"/>
  <c r="U12" i="33"/>
  <c r="V12" i="33" s="1"/>
  <c r="U12" i="34"/>
  <c r="V12" i="34" s="1"/>
  <c r="U12" i="35"/>
  <c r="V12" i="35" s="1"/>
  <c r="U12" i="37"/>
  <c r="V12" i="37" s="1"/>
  <c r="U12" i="38"/>
  <c r="V12" i="38" s="1"/>
  <c r="V12" i="39"/>
  <c r="W12" i="39" s="1"/>
  <c r="V12" i="40"/>
  <c r="W12" i="40" s="1"/>
  <c r="V12" i="57"/>
  <c r="W12" i="57" s="1"/>
  <c r="V12" i="58"/>
  <c r="W12" i="58" s="1"/>
  <c r="U12" i="74"/>
  <c r="V12" i="74" s="1"/>
  <c r="U12" i="41"/>
  <c r="V12" i="41" s="1"/>
  <c r="V12" i="44"/>
  <c r="W12" i="44" s="1"/>
  <c r="V12" i="45"/>
  <c r="W12" i="45" s="1"/>
  <c r="V12" i="46"/>
  <c r="V12" i="79"/>
  <c r="W12" i="79" s="1"/>
  <c r="T12" i="47"/>
  <c r="U12" i="47" s="1"/>
  <c r="T12" i="76"/>
  <c r="U12" i="76" s="1"/>
  <c r="V12" i="65"/>
  <c r="W12" i="65" s="1"/>
  <c r="Z36" i="67"/>
  <c r="AA36" i="67" s="1"/>
  <c r="Z12" i="67"/>
  <c r="AA12" i="67" s="1"/>
  <c r="V12" i="48"/>
  <c r="W12" i="48" s="1"/>
  <c r="AD12" i="49"/>
  <c r="AE12" i="49" s="1"/>
  <c r="AD58" i="82"/>
  <c r="AE58" i="82" s="1"/>
  <c r="AD35" i="82"/>
  <c r="AE35" i="82" s="1"/>
  <c r="AD12" i="82"/>
  <c r="AE12" i="82" s="1"/>
  <c r="X11" i="28"/>
  <c r="Y11" i="28" s="1"/>
  <c r="V34" i="32"/>
  <c r="W34" i="32" s="1"/>
  <c r="V11" i="32"/>
  <c r="W11" i="32" s="1"/>
  <c r="U11" i="33"/>
  <c r="V11" i="33" s="1"/>
  <c r="U11" i="34"/>
  <c r="V11" i="34" s="1"/>
  <c r="U11" i="35"/>
  <c r="V11" i="35" s="1"/>
  <c r="U11" i="37"/>
  <c r="V11" i="37" s="1"/>
  <c r="U11" i="38"/>
  <c r="V11" i="38" s="1"/>
  <c r="V11" i="39"/>
  <c r="W11" i="39" s="1"/>
  <c r="V11" i="40"/>
  <c r="W11" i="40" s="1"/>
  <c r="V11" i="57"/>
  <c r="W11" i="57" s="1"/>
  <c r="V11" i="58"/>
  <c r="W11" i="58" s="1"/>
  <c r="U11" i="74"/>
  <c r="V11" i="74" s="1"/>
  <c r="U11" i="41"/>
  <c r="V11" i="41" s="1"/>
  <c r="V11" i="44"/>
  <c r="W11" i="44" s="1"/>
  <c r="V11" i="45"/>
  <c r="W11" i="45" s="1"/>
  <c r="V11" i="46"/>
  <c r="V11" i="79"/>
  <c r="W11" i="79" s="1"/>
  <c r="T11" i="47"/>
  <c r="U11" i="47" s="1"/>
  <c r="T11" i="76"/>
  <c r="U11" i="76" s="1"/>
  <c r="V11" i="65"/>
  <c r="W11" i="65" s="1"/>
  <c r="Z35" i="67"/>
  <c r="AA35" i="67" s="1"/>
  <c r="Z11" i="67"/>
  <c r="AA11" i="67" s="1"/>
  <c r="V11" i="48"/>
  <c r="W11" i="48" s="1"/>
  <c r="AD11" i="49"/>
  <c r="AE11" i="49" s="1"/>
  <c r="AD57" i="82"/>
  <c r="AE57" i="82" s="1"/>
  <c r="AD34" i="82"/>
  <c r="AE34" i="82" s="1"/>
  <c r="AD11" i="82"/>
  <c r="AE11" i="82" s="1"/>
  <c r="X10" i="28"/>
  <c r="Y10" i="28" s="1"/>
  <c r="V33" i="32"/>
  <c r="W33" i="32" s="1"/>
  <c r="V10" i="32"/>
  <c r="W10" i="32" s="1"/>
  <c r="U10" i="33"/>
  <c r="V10" i="33" s="1"/>
  <c r="U10" i="34"/>
  <c r="V10" i="34" s="1"/>
  <c r="U10" i="35"/>
  <c r="V10" i="35" s="1"/>
  <c r="U10" i="37"/>
  <c r="V10" i="37" s="1"/>
  <c r="U10" i="38"/>
  <c r="V10" i="38" s="1"/>
  <c r="V10" i="39"/>
  <c r="W10" i="39" s="1"/>
  <c r="V10" i="40"/>
  <c r="W10" i="40" s="1"/>
  <c r="V10" i="57"/>
  <c r="W10" i="57" s="1"/>
  <c r="V10" i="58"/>
  <c r="W10" i="58" s="1"/>
  <c r="U10" i="74"/>
  <c r="V10" i="74" s="1"/>
  <c r="U10" i="41"/>
  <c r="V10" i="41" s="1"/>
  <c r="V10" i="44"/>
  <c r="W10" i="44" s="1"/>
  <c r="V10" i="45"/>
  <c r="W10" i="45" s="1"/>
  <c r="V10" i="46"/>
  <c r="V10" i="79"/>
  <c r="W10" i="79" s="1"/>
  <c r="T10" i="47"/>
  <c r="U10" i="47" s="1"/>
  <c r="T10" i="76"/>
  <c r="U10" i="76" s="1"/>
  <c r="V10" i="65"/>
  <c r="W10" i="65" s="1"/>
  <c r="Z34" i="67"/>
  <c r="AA34" i="67" s="1"/>
  <c r="Z10" i="67"/>
  <c r="AA10" i="67" s="1"/>
  <c r="V10" i="48"/>
  <c r="W10" i="48" s="1"/>
  <c r="AD10" i="49"/>
  <c r="AE10" i="49" s="1"/>
  <c r="AD56" i="82"/>
  <c r="AE56" i="82" s="1"/>
  <c r="AD33" i="82"/>
  <c r="AE33" i="82" s="1"/>
  <c r="AD10" i="82"/>
  <c r="AE10" i="82" s="1"/>
  <c r="X9" i="28"/>
  <c r="Y9" i="28" s="1"/>
  <c r="V32" i="32"/>
  <c r="W32" i="32" s="1"/>
  <c r="V9" i="32"/>
  <c r="W9" i="32" s="1"/>
  <c r="U9" i="33"/>
  <c r="V9" i="33" s="1"/>
  <c r="U9" i="34"/>
  <c r="V9" i="34" s="1"/>
  <c r="U9" i="35"/>
  <c r="V9" i="35" s="1"/>
  <c r="U9" i="37"/>
  <c r="V9" i="37" s="1"/>
  <c r="U9" i="38"/>
  <c r="V9" i="38" s="1"/>
  <c r="V9" i="39"/>
  <c r="W9" i="39" s="1"/>
  <c r="V9" i="40"/>
  <c r="W9" i="40" s="1"/>
  <c r="V9" i="57"/>
  <c r="W9" i="57" s="1"/>
  <c r="V9" i="58"/>
  <c r="W9" i="58" s="1"/>
  <c r="U9" i="74"/>
  <c r="V9" i="74" s="1"/>
  <c r="U9" i="41"/>
  <c r="V9" i="41" s="1"/>
  <c r="V9" i="44"/>
  <c r="W9" i="44" s="1"/>
  <c r="V9" i="45"/>
  <c r="W9" i="45" s="1"/>
  <c r="V9" i="46"/>
  <c r="V9" i="79"/>
  <c r="W9" i="79" s="1"/>
  <c r="T9" i="47"/>
  <c r="U9" i="47" s="1"/>
  <c r="T9" i="76"/>
  <c r="U9" i="76" s="1"/>
  <c r="V9" i="65"/>
  <c r="W9" i="65" s="1"/>
  <c r="Z33" i="67"/>
  <c r="AA33" i="67" s="1"/>
  <c r="Z9" i="67"/>
  <c r="AA9" i="67" s="1"/>
  <c r="V9" i="48"/>
  <c r="W9" i="48" s="1"/>
  <c r="AD9" i="49"/>
  <c r="AE9" i="49" s="1"/>
  <c r="AD55" i="82"/>
  <c r="AE55" i="82" s="1"/>
  <c r="AD32" i="82"/>
  <c r="AE32" i="82" s="1"/>
  <c r="AD9" i="82"/>
  <c r="AE9" i="82" s="1"/>
  <c r="X8" i="28"/>
  <c r="Y8" i="28" s="1"/>
  <c r="V31" i="32"/>
  <c r="W31" i="32" s="1"/>
  <c r="V8" i="32"/>
  <c r="W8" i="32" s="1"/>
  <c r="U8" i="33"/>
  <c r="V8" i="33" s="1"/>
  <c r="U8" i="34"/>
  <c r="V8" i="34" s="1"/>
  <c r="U8" i="35"/>
  <c r="V8" i="35" s="1"/>
  <c r="U8" i="37"/>
  <c r="V8" i="37" s="1"/>
  <c r="U8" i="38"/>
  <c r="V8" i="38" s="1"/>
  <c r="V8" i="39"/>
  <c r="W8" i="39" s="1"/>
  <c r="V8" i="40"/>
  <c r="W8" i="40" s="1"/>
  <c r="V8" i="57"/>
  <c r="W8" i="57" s="1"/>
  <c r="V8" i="58"/>
  <c r="W8" i="58" s="1"/>
  <c r="U8" i="74"/>
  <c r="V8" i="74" s="1"/>
  <c r="U8" i="41"/>
  <c r="V8" i="41" s="1"/>
  <c r="V8" i="44"/>
  <c r="W8" i="44" s="1"/>
  <c r="V8" i="45"/>
  <c r="W8" i="45" s="1"/>
  <c r="V8" i="46"/>
  <c r="V8" i="79"/>
  <c r="W8" i="79" s="1"/>
  <c r="T8" i="47"/>
  <c r="U8" i="47" s="1"/>
  <c r="T8" i="76"/>
  <c r="U8" i="76" s="1"/>
  <c r="V8" i="65"/>
  <c r="W8" i="65" s="1"/>
  <c r="Z32" i="67"/>
  <c r="AA32" i="67" s="1"/>
  <c r="Z8" i="67"/>
  <c r="AA8" i="67" s="1"/>
  <c r="V8" i="48"/>
  <c r="W8" i="48" s="1"/>
  <c r="AD8" i="49"/>
  <c r="AE8" i="49" s="1"/>
  <c r="AD54" i="82"/>
  <c r="AE54" i="82" s="1"/>
  <c r="AD31" i="82"/>
  <c r="AE31" i="82" s="1"/>
  <c r="AD8" i="82"/>
  <c r="AE8" i="82" s="1"/>
  <c r="X7" i="28"/>
  <c r="Y7" i="28" s="1"/>
  <c r="V30" i="32"/>
  <c r="W30" i="32" s="1"/>
  <c r="V7" i="32"/>
  <c r="W7" i="32" s="1"/>
  <c r="U7" i="33"/>
  <c r="V7" i="33" s="1"/>
  <c r="U7" i="34"/>
  <c r="V7" i="34" s="1"/>
  <c r="U7" i="35"/>
  <c r="V7" i="35" s="1"/>
  <c r="U7" i="37"/>
  <c r="V7" i="37" s="1"/>
  <c r="U7" i="38"/>
  <c r="V7" i="38" s="1"/>
  <c r="V7" i="39"/>
  <c r="W7" i="39" s="1"/>
  <c r="V7" i="40"/>
  <c r="W7" i="40" s="1"/>
  <c r="V7" i="57"/>
  <c r="W7" i="57" s="1"/>
  <c r="V7" i="58"/>
  <c r="W7" i="58" s="1"/>
  <c r="U7" i="74"/>
  <c r="V7" i="74" s="1"/>
  <c r="U7" i="41"/>
  <c r="V7" i="41" s="1"/>
  <c r="V7" i="44"/>
  <c r="W7" i="44" s="1"/>
  <c r="V7" i="45"/>
  <c r="W7" i="45" s="1"/>
  <c r="V7" i="46"/>
  <c r="V7" i="79"/>
  <c r="W7" i="79" s="1"/>
  <c r="T7" i="47"/>
  <c r="U7" i="47" s="1"/>
  <c r="T7" i="76"/>
  <c r="U7" i="76" s="1"/>
  <c r="V7" i="65"/>
  <c r="W7" i="65" s="1"/>
  <c r="Z31" i="67"/>
  <c r="AA31" i="67" s="1"/>
  <c r="Z7" i="67"/>
  <c r="AA7" i="67" s="1"/>
  <c r="V7" i="48"/>
  <c r="W7" i="48" s="1"/>
  <c r="AD7" i="49"/>
  <c r="AE7" i="49" s="1"/>
  <c r="AD53" i="82"/>
  <c r="AE53" i="82" s="1"/>
  <c r="AD30" i="82"/>
  <c r="AE30" i="82" s="1"/>
  <c r="AD7" i="82"/>
  <c r="AE7" i="82" s="1"/>
  <c r="X6" i="28"/>
  <c r="V29" i="32"/>
  <c r="W29" i="32" s="1"/>
  <c r="V6" i="32"/>
  <c r="W6" i="32" s="1"/>
  <c r="U6" i="33"/>
  <c r="V6" i="33" s="1"/>
  <c r="U6" i="34"/>
  <c r="V6" i="34" s="1"/>
  <c r="U6" i="35"/>
  <c r="V6" i="35" s="1"/>
  <c r="U6" i="37"/>
  <c r="V6" i="37" s="1"/>
  <c r="U6" i="38"/>
  <c r="V6" i="38" s="1"/>
  <c r="V6" i="39"/>
  <c r="W6" i="39" s="1"/>
  <c r="V6" i="40"/>
  <c r="W6" i="40" s="1"/>
  <c r="V6" i="57"/>
  <c r="W6" i="57" s="1"/>
  <c r="V6" i="58"/>
  <c r="W6" i="58" s="1"/>
  <c r="U6" i="74"/>
  <c r="V6" i="74" s="1"/>
  <c r="U6" i="41"/>
  <c r="V6" i="41" s="1"/>
  <c r="V6" i="44"/>
  <c r="W6" i="44" s="1"/>
  <c r="V6" i="45"/>
  <c r="W6" i="45" s="1"/>
  <c r="V6" i="46"/>
  <c r="W6" i="46" s="1"/>
  <c r="V6" i="79"/>
  <c r="W6" i="79" s="1"/>
  <c r="T6" i="47"/>
  <c r="U6" i="47" s="1"/>
  <c r="T6" i="76"/>
  <c r="U6" i="76" s="1"/>
  <c r="V6" i="65"/>
  <c r="W6" i="65" s="1"/>
  <c r="Z30" i="67"/>
  <c r="AA30" i="67" s="1"/>
  <c r="Z6" i="67"/>
  <c r="AA6" i="67" s="1"/>
  <c r="V6" i="48"/>
  <c r="W6" i="48" s="1"/>
  <c r="AD6" i="49"/>
  <c r="AE6" i="49" s="1"/>
  <c r="AD52" i="82"/>
  <c r="AE52" i="82" s="1"/>
  <c r="AD29" i="82"/>
  <c r="AE29" i="82" s="1"/>
  <c r="AD6" i="82"/>
  <c r="AE6" i="82" s="1"/>
  <c r="Q42" i="49"/>
  <c r="Q39" i="49" s="1"/>
  <c r="Q40" i="49" s="1"/>
  <c r="Q41" i="49" s="1"/>
  <c r="N42" i="49"/>
  <c r="Q19" i="71"/>
  <c r="Q39" i="82" l="1"/>
  <c r="Q40" i="82" s="1"/>
  <c r="Q41" i="82" s="1"/>
  <c r="Q42" i="82" s="1"/>
  <c r="O17" i="50"/>
  <c r="O13" i="50"/>
  <c r="O14" i="50" s="1"/>
  <c r="O15" i="50" s="1"/>
  <c r="N16" i="71"/>
  <c r="N17" i="71" s="1"/>
  <c r="N18" i="71" s="1"/>
  <c r="N40" i="55"/>
  <c r="N41" i="55" s="1"/>
  <c r="N42" i="55" s="1"/>
  <c r="N43" i="55" s="1"/>
  <c r="N44" i="55" s="1"/>
  <c r="N45" i="55" s="1"/>
  <c r="N46" i="55" s="1"/>
  <c r="Q18" i="71"/>
  <c r="Q17" i="71"/>
  <c r="Q16" i="71"/>
  <c r="N39" i="49"/>
  <c r="N40" i="49" s="1"/>
  <c r="N41" i="49" s="1"/>
  <c r="N42" i="82"/>
  <c r="N39" i="82"/>
  <c r="N40" i="82" s="1"/>
  <c r="N41" i="82" s="1"/>
  <c r="N13" i="50"/>
  <c r="N14" i="50" s="1"/>
  <c r="N15" i="50" s="1"/>
  <c r="N16" i="50" s="1"/>
  <c r="N17" i="50" s="1"/>
  <c r="Q44" i="55"/>
  <c r="Q40" i="55" s="1"/>
  <c r="Q41" i="55" s="1"/>
  <c r="Q42" i="55" s="1"/>
  <c r="Q43" i="55" s="1"/>
  <c r="N19" i="71"/>
  <c r="D53" i="31"/>
  <c r="Q16" i="50"/>
  <c r="P17" i="50"/>
  <c r="P14" i="50" s="1"/>
  <c r="Q36" i="31"/>
  <c r="Q33" i="31" s="1"/>
  <c r="Q34" i="31" s="1"/>
  <c r="Q35" i="31" s="1"/>
  <c r="P37" i="31"/>
  <c r="Q37" i="31" s="1"/>
  <c r="O37" i="31"/>
  <c r="N36" i="31"/>
  <c r="N37" i="31" s="1"/>
  <c r="N38" i="31" s="1"/>
  <c r="N39" i="31" s="1"/>
  <c r="N40" i="31" s="1"/>
  <c r="N41" i="31" s="1"/>
  <c r="N42" i="31" s="1"/>
  <c r="N43" i="31" s="1"/>
  <c r="N44" i="31" s="1"/>
  <c r="O38" i="31" l="1"/>
  <c r="O34" i="31"/>
  <c r="Q17" i="50"/>
  <c r="Q13" i="50"/>
  <c r="Q14" i="50" s="1"/>
  <c r="Q15" i="50" s="1"/>
  <c r="P38" i="31"/>
  <c r="O39" i="31" l="1"/>
  <c r="O40" i="31" s="1"/>
  <c r="O41" i="31" s="1"/>
  <c r="O42" i="31" s="1"/>
  <c r="O43" i="31" s="1"/>
  <c r="O35" i="31"/>
  <c r="Q38" i="31"/>
  <c r="P39" i="31"/>
  <c r="C2" i="29"/>
  <c r="O43" i="82"/>
  <c r="O44" i="82" s="1"/>
  <c r="L26" i="82"/>
  <c r="N43" i="82"/>
  <c r="N44" i="82" s="1"/>
  <c r="O43" i="49"/>
  <c r="O44" i="49" s="1"/>
  <c r="P40" i="31" l="1"/>
  <c r="Q39" i="31"/>
  <c r="F53" i="82"/>
  <c r="F54" i="82" s="1"/>
  <c r="F55" i="82" s="1"/>
  <c r="F56" i="82" s="1"/>
  <c r="F57" i="82" s="1"/>
  <c r="F58" i="82" s="1"/>
  <c r="F59" i="82" s="1"/>
  <c r="F60" i="82" s="1"/>
  <c r="F61" i="82" s="1"/>
  <c r="F62" i="82" s="1"/>
  <c r="F63" i="82" s="1"/>
  <c r="F64" i="82" s="1"/>
  <c r="F65" i="82" s="1"/>
  <c r="F66" i="82" s="1"/>
  <c r="F67" i="82" s="1"/>
  <c r="F30" i="82"/>
  <c r="F31" i="82" s="1"/>
  <c r="F32" i="82" s="1"/>
  <c r="F33" i="82" s="1"/>
  <c r="F34" i="82" s="1"/>
  <c r="F35" i="82" s="1"/>
  <c r="F36" i="82" s="1"/>
  <c r="F37" i="82" s="1"/>
  <c r="F38" i="82" s="1"/>
  <c r="F39" i="82" s="1"/>
  <c r="F40" i="82" s="1"/>
  <c r="F41" i="82" s="1"/>
  <c r="F42" i="82" s="1"/>
  <c r="F43" i="82" s="1"/>
  <c r="F44" i="82" s="1"/>
  <c r="F7" i="27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F7" i="28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B6" i="28"/>
  <c r="B7" i="28" s="1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F54" i="31"/>
  <c r="F55" i="31" s="1"/>
  <c r="F56" i="31" s="1"/>
  <c r="F57" i="31" s="1"/>
  <c r="F58" i="31" s="1"/>
  <c r="F59" i="31" s="1"/>
  <c r="F60" i="31" s="1"/>
  <c r="F61" i="31" s="1"/>
  <c r="F62" i="31" s="1"/>
  <c r="F63" i="31" s="1"/>
  <c r="F64" i="31" s="1"/>
  <c r="F65" i="31" s="1"/>
  <c r="F66" i="31" s="1"/>
  <c r="F67" i="31" s="1"/>
  <c r="F68" i="31" s="1"/>
  <c r="O44" i="31"/>
  <c r="G33" i="31"/>
  <c r="G43" i="31"/>
  <c r="G42" i="31"/>
  <c r="G41" i="31"/>
  <c r="G40" i="31"/>
  <c r="G39" i="31"/>
  <c r="G38" i="31"/>
  <c r="G37" i="31"/>
  <c r="G36" i="31"/>
  <c r="G35" i="31"/>
  <c r="G34" i="31"/>
  <c r="G32" i="31"/>
  <c r="G31" i="31"/>
  <c r="G30" i="31"/>
  <c r="G29" i="31"/>
  <c r="F7" i="3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30" i="32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7" i="32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7" i="33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F18" i="33" s="1"/>
  <c r="F19" i="33" s="1"/>
  <c r="F20" i="33" s="1"/>
  <c r="F21" i="33" s="1"/>
  <c r="F7" i="34"/>
  <c r="F8" i="34" s="1"/>
  <c r="F9" i="34" s="1"/>
  <c r="F10" i="34" s="1"/>
  <c r="F11" i="34" s="1"/>
  <c r="F12" i="34" s="1"/>
  <c r="F13" i="34" s="1"/>
  <c r="F14" i="34" s="1"/>
  <c r="F15" i="34" s="1"/>
  <c r="F16" i="34" s="1"/>
  <c r="F17" i="34" s="1"/>
  <c r="F18" i="34" s="1"/>
  <c r="F19" i="34" s="1"/>
  <c r="F20" i="34" s="1"/>
  <c r="F21" i="34" s="1"/>
  <c r="F7" i="35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7" i="37"/>
  <c r="F8" i="37" s="1"/>
  <c r="F9" i="37" s="1"/>
  <c r="F10" i="37" s="1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7" i="38"/>
  <c r="F8" i="38" s="1"/>
  <c r="F9" i="38" s="1"/>
  <c r="F10" i="38" s="1"/>
  <c r="F11" i="38" s="1"/>
  <c r="F12" i="38" s="1"/>
  <c r="F13" i="38" s="1"/>
  <c r="F14" i="38" s="1"/>
  <c r="F15" i="38" s="1"/>
  <c r="F16" i="38" s="1"/>
  <c r="F17" i="38" s="1"/>
  <c r="F18" i="38" s="1"/>
  <c r="F19" i="38" s="1"/>
  <c r="F20" i="38" s="1"/>
  <c r="F21" i="38" s="1"/>
  <c r="F7" i="39"/>
  <c r="F8" i="39" s="1"/>
  <c r="F9" i="39" s="1"/>
  <c r="F10" i="39" s="1"/>
  <c r="F11" i="39" s="1"/>
  <c r="F12" i="39" s="1"/>
  <c r="F13" i="39" s="1"/>
  <c r="F14" i="39" s="1"/>
  <c r="F15" i="39" s="1"/>
  <c r="F16" i="39" s="1"/>
  <c r="F17" i="39" s="1"/>
  <c r="F18" i="39" s="1"/>
  <c r="F19" i="39" s="1"/>
  <c r="F20" i="39" s="1"/>
  <c r="F21" i="39" s="1"/>
  <c r="F7" i="40"/>
  <c r="F8" i="40" s="1"/>
  <c r="F9" i="40" s="1"/>
  <c r="F10" i="40" s="1"/>
  <c r="F11" i="40" s="1"/>
  <c r="F12" i="40" s="1"/>
  <c r="F13" i="40" s="1"/>
  <c r="F14" i="40" s="1"/>
  <c r="F15" i="40" s="1"/>
  <c r="F16" i="40" s="1"/>
  <c r="F17" i="40" s="1"/>
  <c r="F18" i="40" s="1"/>
  <c r="F19" i="40" s="1"/>
  <c r="F20" i="40" s="1"/>
  <c r="F21" i="40" s="1"/>
  <c r="F7" i="52"/>
  <c r="F8" i="52" s="1"/>
  <c r="F9" i="52" s="1"/>
  <c r="F10" i="52" s="1"/>
  <c r="F11" i="52" s="1"/>
  <c r="F12" i="52" s="1"/>
  <c r="F13" i="52" s="1"/>
  <c r="F14" i="52" s="1"/>
  <c r="F15" i="52" s="1"/>
  <c r="F16" i="52" s="1"/>
  <c r="F17" i="52" s="1"/>
  <c r="F18" i="52" s="1"/>
  <c r="F19" i="52" s="1"/>
  <c r="F20" i="52" s="1"/>
  <c r="F21" i="52" s="1"/>
  <c r="F7" i="53"/>
  <c r="F8" i="53" s="1"/>
  <c r="F9" i="53" s="1"/>
  <c r="F10" i="53" s="1"/>
  <c r="F11" i="53" s="1"/>
  <c r="F12" i="53" s="1"/>
  <c r="F13" i="53" s="1"/>
  <c r="F14" i="53" s="1"/>
  <c r="F15" i="53" s="1"/>
  <c r="F16" i="53" s="1"/>
  <c r="F17" i="53" s="1"/>
  <c r="F18" i="53" s="1"/>
  <c r="F19" i="53" s="1"/>
  <c r="F20" i="53" s="1"/>
  <c r="F21" i="53" s="1"/>
  <c r="O45" i="55"/>
  <c r="O46" i="55" s="1"/>
  <c r="F32" i="55"/>
  <c r="F33" i="55" s="1"/>
  <c r="F34" i="55" s="1"/>
  <c r="F35" i="55" s="1"/>
  <c r="F36" i="55" s="1"/>
  <c r="F37" i="55" s="1"/>
  <c r="F38" i="55" s="1"/>
  <c r="F39" i="55" s="1"/>
  <c r="F40" i="55" s="1"/>
  <c r="F41" i="55" s="1"/>
  <c r="F42" i="55" s="1"/>
  <c r="F43" i="55" s="1"/>
  <c r="F44" i="55" s="1"/>
  <c r="F45" i="55" s="1"/>
  <c r="F46" i="55" s="1"/>
  <c r="F7" i="55"/>
  <c r="F8" i="55" s="1"/>
  <c r="F9" i="55" s="1"/>
  <c r="F10" i="55" s="1"/>
  <c r="F11" i="55" s="1"/>
  <c r="F12" i="55" s="1"/>
  <c r="F13" i="55" s="1"/>
  <c r="F14" i="55" s="1"/>
  <c r="F15" i="55" s="1"/>
  <c r="F16" i="55" s="1"/>
  <c r="F17" i="55" s="1"/>
  <c r="F18" i="55" s="1"/>
  <c r="F19" i="55" s="1"/>
  <c r="F20" i="55" s="1"/>
  <c r="F21" i="55" s="1"/>
  <c r="F7" i="56"/>
  <c r="F8" i="56" s="1"/>
  <c r="F9" i="56" s="1"/>
  <c r="F10" i="56" s="1"/>
  <c r="F11" i="56" s="1"/>
  <c r="F12" i="56" s="1"/>
  <c r="F13" i="56" s="1"/>
  <c r="F14" i="56" s="1"/>
  <c r="F15" i="56" s="1"/>
  <c r="F16" i="56" s="1"/>
  <c r="F17" i="56" s="1"/>
  <c r="F18" i="56" s="1"/>
  <c r="F19" i="56" s="1"/>
  <c r="F20" i="56" s="1"/>
  <c r="F21" i="56" s="1"/>
  <c r="F30" i="50"/>
  <c r="F31" i="50" s="1"/>
  <c r="F32" i="50" s="1"/>
  <c r="F33" i="50" s="1"/>
  <c r="F34" i="50" s="1"/>
  <c r="F35" i="50" s="1"/>
  <c r="F36" i="50" s="1"/>
  <c r="F37" i="50" s="1"/>
  <c r="F38" i="50" s="1"/>
  <c r="F39" i="50" s="1"/>
  <c r="F40" i="50" s="1"/>
  <c r="F41" i="50" s="1"/>
  <c r="F42" i="50" s="1"/>
  <c r="F43" i="50" s="1"/>
  <c r="F44" i="50" s="1"/>
  <c r="O18" i="50"/>
  <c r="O19" i="50" s="1"/>
  <c r="O20" i="50" s="1"/>
  <c r="O21" i="50" s="1"/>
  <c r="F7" i="50"/>
  <c r="F8" i="50" s="1"/>
  <c r="F9" i="50" s="1"/>
  <c r="F10" i="50" s="1"/>
  <c r="F11" i="50" s="1"/>
  <c r="F12" i="50" s="1"/>
  <c r="F13" i="50" s="1"/>
  <c r="F14" i="50" s="1"/>
  <c r="F15" i="50" s="1"/>
  <c r="F16" i="50" s="1"/>
  <c r="F17" i="50" s="1"/>
  <c r="F18" i="50" s="1"/>
  <c r="F19" i="50" s="1"/>
  <c r="F20" i="50" s="1"/>
  <c r="F21" i="50" s="1"/>
  <c r="N18" i="50"/>
  <c r="N19" i="50" s="1"/>
  <c r="N20" i="50" s="1"/>
  <c r="N21" i="50" s="1"/>
  <c r="F7" i="57"/>
  <c r="F8" i="57" s="1"/>
  <c r="F9" i="57" s="1"/>
  <c r="F10" i="57" s="1"/>
  <c r="F11" i="57" s="1"/>
  <c r="F12" i="57" s="1"/>
  <c r="F13" i="57" s="1"/>
  <c r="F14" i="57" s="1"/>
  <c r="F15" i="57" s="1"/>
  <c r="F16" i="57" s="1"/>
  <c r="F17" i="57" s="1"/>
  <c r="F18" i="57" s="1"/>
  <c r="F19" i="57" s="1"/>
  <c r="F20" i="57" s="1"/>
  <c r="F21" i="57" s="1"/>
  <c r="F7" i="58"/>
  <c r="F8" i="58" s="1"/>
  <c r="F9" i="58" s="1"/>
  <c r="F10" i="58" s="1"/>
  <c r="F11" i="58" s="1"/>
  <c r="F12" i="58" s="1"/>
  <c r="F13" i="58" s="1"/>
  <c r="F14" i="58" s="1"/>
  <c r="F15" i="58" s="1"/>
  <c r="F16" i="58" s="1"/>
  <c r="F17" i="58" s="1"/>
  <c r="F18" i="58" s="1"/>
  <c r="F19" i="58" s="1"/>
  <c r="F20" i="58" s="1"/>
  <c r="F21" i="58" s="1"/>
  <c r="F7" i="59"/>
  <c r="F8" i="59" s="1"/>
  <c r="F9" i="59" s="1"/>
  <c r="F10" i="59" s="1"/>
  <c r="F11" i="59" s="1"/>
  <c r="F12" i="59" s="1"/>
  <c r="F13" i="59" s="1"/>
  <c r="F14" i="59" s="1"/>
  <c r="F15" i="59" s="1"/>
  <c r="F16" i="59" s="1"/>
  <c r="F17" i="59" s="1"/>
  <c r="F18" i="59" s="1"/>
  <c r="F19" i="59" s="1"/>
  <c r="F20" i="59" s="1"/>
  <c r="F21" i="59" s="1"/>
  <c r="F7" i="74"/>
  <c r="F8" i="74" s="1"/>
  <c r="F9" i="74" s="1"/>
  <c r="F10" i="74" s="1"/>
  <c r="F11" i="74" s="1"/>
  <c r="F12" i="74" s="1"/>
  <c r="F13" i="74" s="1"/>
  <c r="F14" i="74" s="1"/>
  <c r="F15" i="74" s="1"/>
  <c r="F16" i="74" s="1"/>
  <c r="F17" i="74" s="1"/>
  <c r="F18" i="74" s="1"/>
  <c r="F19" i="74" s="1"/>
  <c r="F20" i="74" s="1"/>
  <c r="F21" i="74" s="1"/>
  <c r="F7" i="90"/>
  <c r="F8" i="90" s="1"/>
  <c r="F9" i="90" s="1"/>
  <c r="F10" i="90" s="1"/>
  <c r="F11" i="90" s="1"/>
  <c r="F12" i="90" s="1"/>
  <c r="F13" i="90" s="1"/>
  <c r="F14" i="90" s="1"/>
  <c r="F15" i="90" s="1"/>
  <c r="F16" i="90" s="1"/>
  <c r="F17" i="90" s="1"/>
  <c r="F18" i="90" s="1"/>
  <c r="F19" i="90" s="1"/>
  <c r="F20" i="90" s="1"/>
  <c r="F21" i="90" s="1"/>
  <c r="F7" i="60"/>
  <c r="F8" i="60" s="1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7" i="61"/>
  <c r="F8" i="61" s="1"/>
  <c r="F9" i="61" s="1"/>
  <c r="F10" i="61" s="1"/>
  <c r="F11" i="61" s="1"/>
  <c r="F12" i="61" s="1"/>
  <c r="F13" i="61" s="1"/>
  <c r="F14" i="61" s="1"/>
  <c r="F15" i="61" s="1"/>
  <c r="F16" i="61" s="1"/>
  <c r="F17" i="61" s="1"/>
  <c r="F18" i="61" s="1"/>
  <c r="F19" i="61" s="1"/>
  <c r="F20" i="61" s="1"/>
  <c r="F21" i="61" s="1"/>
  <c r="F7" i="62"/>
  <c r="F8" i="62" s="1"/>
  <c r="F9" i="62" s="1"/>
  <c r="F10" i="62" s="1"/>
  <c r="F11" i="62" s="1"/>
  <c r="F12" i="62" s="1"/>
  <c r="F13" i="62" s="1"/>
  <c r="F14" i="62" s="1"/>
  <c r="F15" i="62" s="1"/>
  <c r="F16" i="62" s="1"/>
  <c r="F17" i="62" s="1"/>
  <c r="F18" i="62" s="1"/>
  <c r="F19" i="62" s="1"/>
  <c r="F20" i="62" s="1"/>
  <c r="F21" i="62" s="1"/>
  <c r="F7" i="64"/>
  <c r="F8" i="64" s="1"/>
  <c r="F9" i="64" s="1"/>
  <c r="F10" i="64" s="1"/>
  <c r="F11" i="64" s="1"/>
  <c r="F12" i="64" s="1"/>
  <c r="F13" i="64" s="1"/>
  <c r="F14" i="64" s="1"/>
  <c r="F15" i="64" s="1"/>
  <c r="F16" i="64" s="1"/>
  <c r="F17" i="64" s="1"/>
  <c r="F18" i="64" s="1"/>
  <c r="F19" i="64" s="1"/>
  <c r="F20" i="64" s="1"/>
  <c r="F21" i="64" s="1"/>
  <c r="F7" i="63"/>
  <c r="F8" i="63" s="1"/>
  <c r="F9" i="63" s="1"/>
  <c r="F10" i="63" s="1"/>
  <c r="F11" i="63" s="1"/>
  <c r="F12" i="63" s="1"/>
  <c r="F13" i="63" s="1"/>
  <c r="F14" i="63" s="1"/>
  <c r="F15" i="63" s="1"/>
  <c r="F16" i="63" s="1"/>
  <c r="F17" i="63" s="1"/>
  <c r="F18" i="63" s="1"/>
  <c r="F19" i="63" s="1"/>
  <c r="F20" i="63" s="1"/>
  <c r="F21" i="63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F17" i="68" s="1"/>
  <c r="F18" i="68" s="1"/>
  <c r="F19" i="68" s="1"/>
  <c r="F20" i="68" s="1"/>
  <c r="F21" i="68" s="1"/>
  <c r="F7" i="69"/>
  <c r="F8" i="69" s="1"/>
  <c r="F9" i="69" s="1"/>
  <c r="F10" i="69" s="1"/>
  <c r="F11" i="69" s="1"/>
  <c r="F12" i="69" s="1"/>
  <c r="F13" i="69" s="1"/>
  <c r="F14" i="69" s="1"/>
  <c r="F15" i="69" s="1"/>
  <c r="F16" i="69" s="1"/>
  <c r="F17" i="69" s="1"/>
  <c r="F18" i="69" s="1"/>
  <c r="F19" i="69" s="1"/>
  <c r="F20" i="69" s="1"/>
  <c r="F21" i="69" s="1"/>
  <c r="O20" i="71"/>
  <c r="O21" i="71" s="1"/>
  <c r="F7" i="71"/>
  <c r="F8" i="71" s="1"/>
  <c r="F9" i="71" s="1"/>
  <c r="F10" i="71" s="1"/>
  <c r="F11" i="71" s="1"/>
  <c r="F12" i="71" s="1"/>
  <c r="F13" i="71" s="1"/>
  <c r="F14" i="71" s="1"/>
  <c r="F15" i="71" s="1"/>
  <c r="F16" i="71" s="1"/>
  <c r="F17" i="71" s="1"/>
  <c r="F18" i="71" s="1"/>
  <c r="F19" i="71" s="1"/>
  <c r="F20" i="71" s="1"/>
  <c r="F21" i="71" s="1"/>
  <c r="N20" i="71"/>
  <c r="N21" i="71" s="1"/>
  <c r="F7" i="70"/>
  <c r="F8" i="70" s="1"/>
  <c r="F9" i="70" s="1"/>
  <c r="F10" i="70" s="1"/>
  <c r="F11" i="70" s="1"/>
  <c r="F12" i="70" s="1"/>
  <c r="F13" i="70" s="1"/>
  <c r="F14" i="70" s="1"/>
  <c r="F15" i="70" s="1"/>
  <c r="F16" i="70" s="1"/>
  <c r="F17" i="70" s="1"/>
  <c r="F18" i="70" s="1"/>
  <c r="F19" i="70" s="1"/>
  <c r="F20" i="70" s="1"/>
  <c r="F21" i="70" s="1"/>
  <c r="F7" i="73"/>
  <c r="F8" i="73" s="1"/>
  <c r="F9" i="73" s="1"/>
  <c r="F10" i="73" s="1"/>
  <c r="F11" i="73" s="1"/>
  <c r="F12" i="73" s="1"/>
  <c r="F13" i="73" s="1"/>
  <c r="F14" i="73" s="1"/>
  <c r="F15" i="73" s="1"/>
  <c r="F16" i="73" s="1"/>
  <c r="F17" i="73" s="1"/>
  <c r="F18" i="73" s="1"/>
  <c r="F19" i="73" s="1"/>
  <c r="F20" i="73" s="1"/>
  <c r="F21" i="73" s="1"/>
  <c r="F7" i="4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21" i="41" s="1"/>
  <c r="F7" i="42"/>
  <c r="F8" i="42" s="1"/>
  <c r="F9" i="42" s="1"/>
  <c r="F10" i="42" s="1"/>
  <c r="F11" i="42" s="1"/>
  <c r="F12" i="42" s="1"/>
  <c r="F13" i="42" s="1"/>
  <c r="F14" i="42" s="1"/>
  <c r="F15" i="42" s="1"/>
  <c r="F16" i="42" s="1"/>
  <c r="F17" i="42" s="1"/>
  <c r="F18" i="42" s="1"/>
  <c r="F19" i="42" s="1"/>
  <c r="F20" i="42" s="1"/>
  <c r="F21" i="42" s="1"/>
  <c r="F7" i="43"/>
  <c r="F8" i="43" s="1"/>
  <c r="F9" i="43" s="1"/>
  <c r="F10" i="43" s="1"/>
  <c r="F11" i="43" s="1"/>
  <c r="F12" i="43" s="1"/>
  <c r="F13" i="43" s="1"/>
  <c r="F14" i="43" s="1"/>
  <c r="F15" i="43" s="1"/>
  <c r="F16" i="43" s="1"/>
  <c r="F17" i="43" s="1"/>
  <c r="F18" i="43" s="1"/>
  <c r="F19" i="43" s="1"/>
  <c r="F20" i="43" s="1"/>
  <c r="F21" i="43" s="1"/>
  <c r="F7" i="44"/>
  <c r="F8" i="44" s="1"/>
  <c r="F9" i="44" s="1"/>
  <c r="F10" i="44" s="1"/>
  <c r="F11" i="44" s="1"/>
  <c r="F12" i="44" s="1"/>
  <c r="F13" i="44" s="1"/>
  <c r="F14" i="44" s="1"/>
  <c r="F15" i="44" s="1"/>
  <c r="F16" i="44" s="1"/>
  <c r="F17" i="44" s="1"/>
  <c r="F18" i="44" s="1"/>
  <c r="F19" i="44" s="1"/>
  <c r="F20" i="44" s="1"/>
  <c r="F21" i="44" s="1"/>
  <c r="F7" i="45"/>
  <c r="F8" i="45" s="1"/>
  <c r="F9" i="45" s="1"/>
  <c r="F10" i="45" s="1"/>
  <c r="F11" i="45" s="1"/>
  <c r="F12" i="45" s="1"/>
  <c r="F13" i="45" s="1"/>
  <c r="F14" i="45" s="1"/>
  <c r="F15" i="45" s="1"/>
  <c r="F16" i="45" s="1"/>
  <c r="F17" i="45" s="1"/>
  <c r="F18" i="45" s="1"/>
  <c r="F19" i="45" s="1"/>
  <c r="F20" i="45" s="1"/>
  <c r="F21" i="45" s="1"/>
  <c r="F7" i="46"/>
  <c r="F8" i="46" s="1"/>
  <c r="F9" i="46" s="1"/>
  <c r="F10" i="46" s="1"/>
  <c r="F11" i="46" s="1"/>
  <c r="F12" i="46" s="1"/>
  <c r="F13" i="46" s="1"/>
  <c r="F14" i="46" s="1"/>
  <c r="F15" i="46" s="1"/>
  <c r="F16" i="46" s="1"/>
  <c r="F17" i="46" s="1"/>
  <c r="F18" i="46" s="1"/>
  <c r="F19" i="46" s="1"/>
  <c r="F20" i="46" s="1"/>
  <c r="F21" i="46" s="1"/>
  <c r="F7" i="79"/>
  <c r="F8" i="79" s="1"/>
  <c r="F9" i="79" s="1"/>
  <c r="F10" i="79" s="1"/>
  <c r="F11" i="79" s="1"/>
  <c r="F12" i="79" s="1"/>
  <c r="F13" i="79" s="1"/>
  <c r="F14" i="79" s="1"/>
  <c r="F15" i="79" s="1"/>
  <c r="F16" i="79" s="1"/>
  <c r="F17" i="79" s="1"/>
  <c r="F18" i="79" s="1"/>
  <c r="F19" i="79" s="1"/>
  <c r="F20" i="79" s="1"/>
  <c r="F21" i="79" s="1"/>
  <c r="F7" i="47"/>
  <c r="F8" i="47" s="1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F20" i="47" s="1"/>
  <c r="F21" i="47" s="1"/>
  <c r="F7" i="76"/>
  <c r="F8" i="76" s="1"/>
  <c r="F9" i="76" s="1"/>
  <c r="F10" i="76" s="1"/>
  <c r="F11" i="76" s="1"/>
  <c r="F12" i="76" s="1"/>
  <c r="F13" i="76" s="1"/>
  <c r="F14" i="76" s="1"/>
  <c r="F15" i="76" s="1"/>
  <c r="F16" i="76" s="1"/>
  <c r="F17" i="76" s="1"/>
  <c r="F18" i="76" s="1"/>
  <c r="F19" i="76" s="1"/>
  <c r="F20" i="76" s="1"/>
  <c r="F21" i="76" s="1"/>
  <c r="F7" i="65"/>
  <c r="F8" i="65" s="1"/>
  <c r="F9" i="65" s="1"/>
  <c r="F10" i="65" s="1"/>
  <c r="F11" i="65" s="1"/>
  <c r="F12" i="65" s="1"/>
  <c r="F13" i="65" s="1"/>
  <c r="F14" i="65" s="1"/>
  <c r="F15" i="65" s="1"/>
  <c r="F16" i="65" s="1"/>
  <c r="F17" i="65" s="1"/>
  <c r="F18" i="65" s="1"/>
  <c r="F19" i="65" s="1"/>
  <c r="F20" i="65" s="1"/>
  <c r="F21" i="65" s="1"/>
  <c r="F31" i="67"/>
  <c r="F32" i="67" s="1"/>
  <c r="F7" i="67"/>
  <c r="F8" i="67" s="1"/>
  <c r="F9" i="67" s="1"/>
  <c r="F10" i="67" s="1"/>
  <c r="F11" i="67" s="1"/>
  <c r="F12" i="67" s="1"/>
  <c r="F13" i="67" s="1"/>
  <c r="F14" i="67" s="1"/>
  <c r="F15" i="67" s="1"/>
  <c r="F16" i="67" s="1"/>
  <c r="F17" i="67" s="1"/>
  <c r="F18" i="67" s="1"/>
  <c r="F19" i="67" s="1"/>
  <c r="F20" i="67" s="1"/>
  <c r="F21" i="67" s="1"/>
  <c r="D6" i="67"/>
  <c r="E6" i="67" s="1"/>
  <c r="F7" i="48"/>
  <c r="F8" i="48" s="1"/>
  <c r="F9" i="48" s="1"/>
  <c r="F10" i="48" s="1"/>
  <c r="F11" i="48" s="1"/>
  <c r="F12" i="48" s="1"/>
  <c r="F13" i="48" s="1"/>
  <c r="F14" i="48" s="1"/>
  <c r="F15" i="48" s="1"/>
  <c r="F16" i="48" s="1"/>
  <c r="F17" i="48" s="1"/>
  <c r="F18" i="48" s="1"/>
  <c r="F19" i="48" s="1"/>
  <c r="F20" i="48" s="1"/>
  <c r="F21" i="48" s="1"/>
  <c r="F7" i="49"/>
  <c r="F8" i="49" s="1"/>
  <c r="F9" i="49" s="1"/>
  <c r="F10" i="49" s="1"/>
  <c r="F11" i="49" s="1"/>
  <c r="F12" i="49" s="1"/>
  <c r="F13" i="49" s="1"/>
  <c r="F14" i="49" s="1"/>
  <c r="F15" i="49" s="1"/>
  <c r="F16" i="49" s="1"/>
  <c r="F17" i="49" s="1"/>
  <c r="F18" i="49" s="1"/>
  <c r="F19" i="49" s="1"/>
  <c r="F20" i="49" s="1"/>
  <c r="F21" i="49" s="1"/>
  <c r="F7" i="82"/>
  <c r="F8" i="82" s="1"/>
  <c r="F9" i="82" s="1"/>
  <c r="F10" i="82" s="1"/>
  <c r="F11" i="82" s="1"/>
  <c r="F12" i="82" s="1"/>
  <c r="F13" i="82" s="1"/>
  <c r="F14" i="82" s="1"/>
  <c r="F15" i="82" s="1"/>
  <c r="F16" i="82" s="1"/>
  <c r="F17" i="82" s="1"/>
  <c r="F18" i="82" s="1"/>
  <c r="F19" i="82" s="1"/>
  <c r="F20" i="82" s="1"/>
  <c r="F21" i="82" s="1"/>
  <c r="R38" i="29"/>
  <c r="B38" i="29"/>
  <c r="D2" i="29"/>
  <c r="E2" i="29" s="1"/>
  <c r="F2" i="29" s="1"/>
  <c r="G2" i="29" s="1"/>
  <c r="H2" i="29" s="1"/>
  <c r="I2" i="29" s="1"/>
  <c r="J2" i="29" s="1"/>
  <c r="K2" i="29" s="1"/>
  <c r="L2" i="29" s="1"/>
  <c r="M2" i="29" s="1"/>
  <c r="N2" i="29" s="1"/>
  <c r="O2" i="29" s="1"/>
  <c r="P2" i="29" s="1"/>
  <c r="Q2" i="29" s="1"/>
  <c r="R2" i="29" s="1"/>
  <c r="P41" i="31" l="1"/>
  <c r="Q40" i="31"/>
  <c r="B6" i="3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N43" i="49"/>
  <c r="N44" i="49" s="1"/>
  <c r="F30" i="49"/>
  <c r="F31" i="49" s="1"/>
  <c r="F32" i="49" s="1"/>
  <c r="F33" i="49" s="1"/>
  <c r="F34" i="49" s="1"/>
  <c r="F35" i="49" s="1"/>
  <c r="F36" i="49" s="1"/>
  <c r="F37" i="49" s="1"/>
  <c r="F38" i="49" s="1"/>
  <c r="F39" i="49" s="1"/>
  <c r="F40" i="49" s="1"/>
  <c r="F41" i="49" s="1"/>
  <c r="F42" i="49" s="1"/>
  <c r="F43" i="49" s="1"/>
  <c r="F44" i="49" s="1"/>
  <c r="C7" i="67"/>
  <c r="J34" i="67"/>
  <c r="J42" i="67"/>
  <c r="H6" i="67"/>
  <c r="F33" i="67"/>
  <c r="J38" i="67"/>
  <c r="J31" i="67"/>
  <c r="J32" i="67"/>
  <c r="J33" i="67"/>
  <c r="J39" i="67"/>
  <c r="J40" i="67"/>
  <c r="J41" i="67"/>
  <c r="J30" i="67"/>
  <c r="J35" i="67"/>
  <c r="J36" i="67"/>
  <c r="J37" i="67"/>
  <c r="J43" i="67"/>
  <c r="J3" i="55"/>
  <c r="F7" i="54"/>
  <c r="F8" i="54" s="1"/>
  <c r="F9" i="54" s="1"/>
  <c r="F10" i="54" s="1"/>
  <c r="F11" i="54" s="1"/>
  <c r="F12" i="54" s="1"/>
  <c r="F13" i="54" s="1"/>
  <c r="F14" i="54" s="1"/>
  <c r="F15" i="54" s="1"/>
  <c r="F16" i="54" s="1"/>
  <c r="F17" i="54" s="1"/>
  <c r="F18" i="54" s="1"/>
  <c r="F19" i="54" s="1"/>
  <c r="F20" i="54" s="1"/>
  <c r="F21" i="54" s="1"/>
  <c r="F30" i="31"/>
  <c r="F31" i="31" s="1"/>
  <c r="F32" i="31" s="1"/>
  <c r="F33" i="31" s="1"/>
  <c r="F34" i="31" s="1"/>
  <c r="F35" i="31" s="1"/>
  <c r="F36" i="31" s="1"/>
  <c r="F37" i="31" s="1"/>
  <c r="F38" i="31" s="1"/>
  <c r="F39" i="31" s="1"/>
  <c r="F40" i="31" s="1"/>
  <c r="F41" i="31" s="1"/>
  <c r="F42" i="31" s="1"/>
  <c r="F43" i="31" s="1"/>
  <c r="F44" i="31" s="1"/>
  <c r="B7" i="31" l="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P42" i="31"/>
  <c r="Q41" i="31"/>
  <c r="B29" i="3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6" i="33"/>
  <c r="B6" i="34" s="1"/>
  <c r="B6" i="32"/>
  <c r="B7" i="32" s="1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D7" i="67"/>
  <c r="H7" i="67" s="1"/>
  <c r="C8" i="67"/>
  <c r="F34" i="67"/>
  <c r="P43" i="31" l="1"/>
  <c r="Q42" i="31"/>
  <c r="L29" i="31"/>
  <c r="L30" i="31" s="1"/>
  <c r="L31" i="31" s="1"/>
  <c r="L32" i="31" s="1"/>
  <c r="L33" i="31" s="1"/>
  <c r="L34" i="31" s="1"/>
  <c r="L35" i="31" s="1"/>
  <c r="L36" i="31" s="1"/>
  <c r="L37" i="31" s="1"/>
  <c r="L38" i="31" s="1"/>
  <c r="L39" i="31" s="1"/>
  <c r="L40" i="31" s="1"/>
  <c r="L41" i="31" s="1"/>
  <c r="L42" i="31" s="1"/>
  <c r="L43" i="31" s="1"/>
  <c r="L44" i="31" s="1"/>
  <c r="B30" i="3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43" i="31" s="1"/>
  <c r="B44" i="31" s="1"/>
  <c r="B7" i="33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D8" i="67"/>
  <c r="H8" i="67" s="1"/>
  <c r="C9" i="67"/>
  <c r="B6" i="35"/>
  <c r="B7" i="34"/>
  <c r="B8" i="34" s="1"/>
  <c r="B9" i="34" s="1"/>
  <c r="B10" i="34" s="1"/>
  <c r="B11" i="34" s="1"/>
  <c r="B12" i="34" s="1"/>
  <c r="B13" i="34" s="1"/>
  <c r="B14" i="34" s="1"/>
  <c r="B15" i="34" s="1"/>
  <c r="B16" i="34" s="1"/>
  <c r="B17" i="34" s="1"/>
  <c r="B18" i="34" s="1"/>
  <c r="B19" i="34" s="1"/>
  <c r="B20" i="34" s="1"/>
  <c r="B21" i="34" s="1"/>
  <c r="F35" i="67"/>
  <c r="P44" i="31" l="1"/>
  <c r="Q44" i="31" s="1"/>
  <c r="Q43" i="31"/>
  <c r="B6" i="37"/>
  <c r="B7" i="35"/>
  <c r="B8" i="35" s="1"/>
  <c r="B9" i="35" s="1"/>
  <c r="B10" i="35" s="1"/>
  <c r="B11" i="35" s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C10" i="67"/>
  <c r="D9" i="67"/>
  <c r="H9" i="67" s="1"/>
  <c r="F36" i="67"/>
  <c r="B7" i="37" l="1"/>
  <c r="B8" i="37" s="1"/>
  <c r="B9" i="37" s="1"/>
  <c r="B10" i="37" s="1"/>
  <c r="B11" i="37" s="1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6" i="38"/>
  <c r="C11" i="67"/>
  <c r="D10" i="67"/>
  <c r="H10" i="67" s="1"/>
  <c r="F37" i="67"/>
  <c r="B6" i="39" l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D11" i="67"/>
  <c r="H11" i="67" s="1"/>
  <c r="C12" i="67"/>
  <c r="F38" i="67"/>
  <c r="D12" i="67" l="1"/>
  <c r="H12" i="67" s="1"/>
  <c r="C13" i="67"/>
  <c r="B6" i="40"/>
  <c r="B7" i="39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P43" i="82"/>
  <c r="F39" i="67"/>
  <c r="D13" i="67" l="1"/>
  <c r="H13" i="67" s="1"/>
  <c r="C14" i="67"/>
  <c r="B6" i="52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P44" i="82"/>
  <c r="F40" i="67"/>
  <c r="B7" i="52" l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6" i="53"/>
  <c r="D14" i="67"/>
  <c r="H14" i="67" s="1"/>
  <c r="C15" i="67"/>
  <c r="P43" i="49"/>
  <c r="F41" i="67"/>
  <c r="B7" i="53" l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6" i="54"/>
  <c r="C16" i="67"/>
  <c r="D15" i="67"/>
  <c r="H15" i="67" s="1"/>
  <c r="P44" i="49"/>
  <c r="F42" i="67"/>
  <c r="B7" i="54" l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6" i="55"/>
  <c r="D16" i="67"/>
  <c r="H16" i="67" s="1"/>
  <c r="C17" i="67"/>
  <c r="F43" i="67"/>
  <c r="B6" i="56" l="1"/>
  <c r="B7" i="55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31" i="55"/>
  <c r="C18" i="67"/>
  <c r="D17" i="67"/>
  <c r="H17" i="67" s="1"/>
  <c r="F44" i="67"/>
  <c r="B6" i="50" l="1"/>
  <c r="B7" i="56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C19" i="67"/>
  <c r="D18" i="67"/>
  <c r="H18" i="67" s="1"/>
  <c r="B32" i="55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L31" i="55"/>
  <c r="L32" i="55" s="1"/>
  <c r="L33" i="55" s="1"/>
  <c r="L34" i="55" s="1"/>
  <c r="L35" i="55" s="1"/>
  <c r="L36" i="55" s="1"/>
  <c r="L37" i="55" s="1"/>
  <c r="L38" i="55" s="1"/>
  <c r="L39" i="55" s="1"/>
  <c r="L40" i="55" s="1"/>
  <c r="L41" i="55" s="1"/>
  <c r="L42" i="55" s="1"/>
  <c r="L43" i="55" s="1"/>
  <c r="L44" i="55" s="1"/>
  <c r="L45" i="55" s="1"/>
  <c r="L46" i="55" s="1"/>
  <c r="F45" i="67"/>
  <c r="J44" i="67"/>
  <c r="B29" i="50" l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7" i="50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L6" i="50"/>
  <c r="L7" i="50" s="1"/>
  <c r="L8" i="50" s="1"/>
  <c r="L9" i="50" s="1"/>
  <c r="L10" i="50" s="1"/>
  <c r="L11" i="50" s="1"/>
  <c r="L12" i="50" s="1"/>
  <c r="L13" i="50" s="1"/>
  <c r="L14" i="50" s="1"/>
  <c r="L15" i="50" s="1"/>
  <c r="L16" i="50" s="1"/>
  <c r="L17" i="50" s="1"/>
  <c r="L18" i="50" s="1"/>
  <c r="L19" i="50" s="1"/>
  <c r="L20" i="50" s="1"/>
  <c r="L21" i="50" s="1"/>
  <c r="B6" i="57"/>
  <c r="L6" i="57" s="1"/>
  <c r="N6" i="57" s="1"/>
  <c r="O6" i="57" s="1"/>
  <c r="C20" i="67"/>
  <c r="D19" i="67"/>
  <c r="H19" i="67" s="1"/>
  <c r="C21" i="67" l="1"/>
  <c r="D21" i="67" s="1"/>
  <c r="D20" i="67"/>
  <c r="H20" i="67" s="1"/>
  <c r="B6" i="58"/>
  <c r="L6" i="58" s="1"/>
  <c r="B7" i="57"/>
  <c r="D6" i="31"/>
  <c r="C7" i="31"/>
  <c r="B8" i="57" l="1"/>
  <c r="L7" i="57"/>
  <c r="N7" i="57" s="1"/>
  <c r="O7" i="57" s="1"/>
  <c r="B7" i="58"/>
  <c r="B6" i="59"/>
  <c r="D7" i="31"/>
  <c r="H7" i="31" s="1"/>
  <c r="C8" i="31"/>
  <c r="C54" i="31"/>
  <c r="C55" i="31" s="1"/>
  <c r="C56" i="31" s="1"/>
  <c r="C57" i="31" s="1"/>
  <c r="C58" i="31" s="1"/>
  <c r="C59" i="31" s="1"/>
  <c r="C60" i="31" s="1"/>
  <c r="C61" i="31" s="1"/>
  <c r="C62" i="31" s="1"/>
  <c r="C63" i="31" s="1"/>
  <c r="C64" i="31" s="1"/>
  <c r="C65" i="31" s="1"/>
  <c r="C66" i="31" s="1"/>
  <c r="C67" i="31" s="1"/>
  <c r="C68" i="31" s="1"/>
  <c r="C30" i="31"/>
  <c r="H6" i="31"/>
  <c r="E6" i="3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B9" i="57" l="1"/>
  <c r="L8" i="57"/>
  <c r="N8" i="57" s="1"/>
  <c r="O8" i="57" s="1"/>
  <c r="B8" i="58"/>
  <c r="L7" i="58"/>
  <c r="B7" i="59"/>
  <c r="B8" i="59" s="1"/>
  <c r="B9" i="59" s="1"/>
  <c r="B10" i="59" s="1"/>
  <c r="B11" i="59" s="1"/>
  <c r="B12" i="59" s="1"/>
  <c r="B13" i="59" s="1"/>
  <c r="B14" i="59" s="1"/>
  <c r="B15" i="59" s="1"/>
  <c r="B16" i="59" s="1"/>
  <c r="B17" i="59" s="1"/>
  <c r="B18" i="59" s="1"/>
  <c r="B19" i="59" s="1"/>
  <c r="B20" i="59" s="1"/>
  <c r="B21" i="59" s="1"/>
  <c r="B6" i="74"/>
  <c r="K6" i="74" s="1"/>
  <c r="E29" i="3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H29" i="31"/>
  <c r="M29" i="31" s="1"/>
  <c r="C31" i="31"/>
  <c r="D30" i="31"/>
  <c r="H30" i="31" s="1"/>
  <c r="M30" i="31" s="1"/>
  <c r="D8" i="31"/>
  <c r="H8" i="31" s="1"/>
  <c r="C9" i="31"/>
  <c r="B10" i="57" l="1"/>
  <c r="L9" i="57"/>
  <c r="N9" i="57" s="1"/>
  <c r="O9" i="57" s="1"/>
  <c r="B9" i="58"/>
  <c r="L8" i="58"/>
  <c r="B6" i="90"/>
  <c r="B7" i="74"/>
  <c r="D9" i="31"/>
  <c r="H9" i="31" s="1"/>
  <c r="C10" i="31"/>
  <c r="D31" i="31"/>
  <c r="H31" i="31" s="1"/>
  <c r="M31" i="31" s="1"/>
  <c r="C32" i="31"/>
  <c r="B11" i="57" l="1"/>
  <c r="L10" i="57"/>
  <c r="N10" i="57" s="1"/>
  <c r="O10" i="57" s="1"/>
  <c r="B8" i="74"/>
  <c r="K7" i="74"/>
  <c r="B10" i="58"/>
  <c r="L9" i="58"/>
  <c r="B6" i="60"/>
  <c r="B7" i="90"/>
  <c r="B8" i="90" s="1"/>
  <c r="B9" i="90" s="1"/>
  <c r="B10" i="90" s="1"/>
  <c r="B11" i="90" s="1"/>
  <c r="B12" i="90" s="1"/>
  <c r="B13" i="90" s="1"/>
  <c r="B14" i="90" s="1"/>
  <c r="B15" i="90" s="1"/>
  <c r="B16" i="90" s="1"/>
  <c r="B17" i="90" s="1"/>
  <c r="B18" i="90" s="1"/>
  <c r="B19" i="90" s="1"/>
  <c r="B20" i="90" s="1"/>
  <c r="B21" i="90" s="1"/>
  <c r="D32" i="31"/>
  <c r="H32" i="31" s="1"/>
  <c r="M32" i="31" s="1"/>
  <c r="C33" i="31"/>
  <c r="D10" i="31"/>
  <c r="H10" i="31" s="1"/>
  <c r="C11" i="31"/>
  <c r="B12" i="57" l="1"/>
  <c r="L11" i="57"/>
  <c r="N11" i="57" s="1"/>
  <c r="O11" i="57" s="1"/>
  <c r="B11" i="58"/>
  <c r="L10" i="58"/>
  <c r="B9" i="74"/>
  <c r="K8" i="74"/>
  <c r="B7" i="60"/>
  <c r="B8" i="60" s="1"/>
  <c r="B9" i="60" s="1"/>
  <c r="B10" i="60" s="1"/>
  <c r="B11" i="60" s="1"/>
  <c r="B12" i="60" s="1"/>
  <c r="B13" i="60" s="1"/>
  <c r="B14" i="60" s="1"/>
  <c r="B15" i="60" s="1"/>
  <c r="B16" i="60" s="1"/>
  <c r="B17" i="60" s="1"/>
  <c r="B18" i="60" s="1"/>
  <c r="B19" i="60" s="1"/>
  <c r="B20" i="60" s="1"/>
  <c r="B21" i="60" s="1"/>
  <c r="B6" i="61"/>
  <c r="D11" i="31"/>
  <c r="H11" i="31" s="1"/>
  <c r="C12" i="31"/>
  <c r="D33" i="31"/>
  <c r="H33" i="31" s="1"/>
  <c r="M33" i="31" s="1"/>
  <c r="R33" i="31" s="1"/>
  <c r="C34" i="31"/>
  <c r="B13" i="57" l="1"/>
  <c r="L12" i="57"/>
  <c r="N12" i="57" s="1"/>
  <c r="O12" i="57" s="1"/>
  <c r="B10" i="74"/>
  <c r="K9" i="74"/>
  <c r="B12" i="58"/>
  <c r="L11" i="58"/>
  <c r="B7" i="61"/>
  <c r="B8" i="61" s="1"/>
  <c r="B9" i="61" s="1"/>
  <c r="B10" i="61" s="1"/>
  <c r="B11" i="61" s="1"/>
  <c r="B12" i="61" s="1"/>
  <c r="B13" i="61" s="1"/>
  <c r="B14" i="61" s="1"/>
  <c r="B15" i="61" s="1"/>
  <c r="B16" i="61" s="1"/>
  <c r="B17" i="61" s="1"/>
  <c r="B18" i="61" s="1"/>
  <c r="B19" i="61" s="1"/>
  <c r="B20" i="61" s="1"/>
  <c r="B21" i="61" s="1"/>
  <c r="B6" i="62"/>
  <c r="H53" i="31"/>
  <c r="D54" i="31"/>
  <c r="E53" i="31"/>
  <c r="E54" i="31" s="1"/>
  <c r="E55" i="31" s="1"/>
  <c r="E56" i="31" s="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E67" i="31" s="1"/>
  <c r="E68" i="31" s="1"/>
  <c r="D12" i="31"/>
  <c r="H12" i="31" s="1"/>
  <c r="C13" i="31"/>
  <c r="D34" i="31"/>
  <c r="H34" i="31" s="1"/>
  <c r="M34" i="31" s="1"/>
  <c r="R34" i="31" s="1"/>
  <c r="C35" i="31"/>
  <c r="B14" i="57" l="1"/>
  <c r="L13" i="57"/>
  <c r="N13" i="57" s="1"/>
  <c r="O13" i="57" s="1"/>
  <c r="B13" i="58"/>
  <c r="L12" i="58"/>
  <c r="B11" i="74"/>
  <c r="K10" i="74"/>
  <c r="B6" i="64"/>
  <c r="B7" i="62"/>
  <c r="B8" i="62" s="1"/>
  <c r="B9" i="62" s="1"/>
  <c r="B10" i="62" s="1"/>
  <c r="B11" i="62" s="1"/>
  <c r="B12" i="62" s="1"/>
  <c r="B13" i="62" s="1"/>
  <c r="B14" i="62" s="1"/>
  <c r="B15" i="62" s="1"/>
  <c r="B16" i="62" s="1"/>
  <c r="B17" i="62" s="1"/>
  <c r="B18" i="62" s="1"/>
  <c r="B19" i="62" s="1"/>
  <c r="B20" i="62" s="1"/>
  <c r="B21" i="62" s="1"/>
  <c r="C36" i="31"/>
  <c r="D35" i="31"/>
  <c r="H35" i="31" s="1"/>
  <c r="M35" i="31" s="1"/>
  <c r="R35" i="31" s="1"/>
  <c r="D55" i="31"/>
  <c r="H54" i="31"/>
  <c r="C14" i="31"/>
  <c r="D13" i="31"/>
  <c r="H13" i="31" s="1"/>
  <c r="B15" i="57" l="1"/>
  <c r="L14" i="57"/>
  <c r="N14" i="57" s="1"/>
  <c r="O14" i="57" s="1"/>
  <c r="B12" i="74"/>
  <c r="K11" i="74"/>
  <c r="B14" i="58"/>
  <c r="L13" i="58"/>
  <c r="B7" i="64"/>
  <c r="B8" i="64" s="1"/>
  <c r="B9" i="64" s="1"/>
  <c r="B10" i="64" s="1"/>
  <c r="B11" i="64" s="1"/>
  <c r="B12" i="64" s="1"/>
  <c r="B13" i="64" s="1"/>
  <c r="B14" i="64" s="1"/>
  <c r="B15" i="64" s="1"/>
  <c r="B16" i="64" s="1"/>
  <c r="B17" i="64" s="1"/>
  <c r="B18" i="64" s="1"/>
  <c r="B19" i="64" s="1"/>
  <c r="B20" i="64" s="1"/>
  <c r="B21" i="64" s="1"/>
  <c r="B6" i="63"/>
  <c r="K6" i="63" s="1"/>
  <c r="D56" i="31"/>
  <c r="H55" i="31"/>
  <c r="C15" i="31"/>
  <c r="D14" i="31"/>
  <c r="H14" i="31" s="1"/>
  <c r="C37" i="31"/>
  <c r="D36" i="31"/>
  <c r="H36" i="31" s="1"/>
  <c r="M36" i="31" s="1"/>
  <c r="R36" i="31" s="1"/>
  <c r="B16" i="57" l="1"/>
  <c r="L15" i="57"/>
  <c r="N15" i="57" s="1"/>
  <c r="O15" i="57" s="1"/>
  <c r="B15" i="58"/>
  <c r="L14" i="58"/>
  <c r="B13" i="74"/>
  <c r="K12" i="74"/>
  <c r="B6" i="68"/>
  <c r="B7" i="63"/>
  <c r="C16" i="31"/>
  <c r="D15" i="31"/>
  <c r="H15" i="31" s="1"/>
  <c r="D37" i="31"/>
  <c r="H37" i="31" s="1"/>
  <c r="M37" i="31" s="1"/>
  <c r="R37" i="31" s="1"/>
  <c r="C38" i="31"/>
  <c r="H56" i="31"/>
  <c r="D57" i="31"/>
  <c r="B8" i="63" l="1"/>
  <c r="K7" i="63"/>
  <c r="B17" i="57"/>
  <c r="L16" i="57"/>
  <c r="N16" i="57" s="1"/>
  <c r="O16" i="57" s="1"/>
  <c r="B14" i="74"/>
  <c r="K13" i="74"/>
  <c r="B16" i="58"/>
  <c r="L15" i="58"/>
  <c r="B6" i="69"/>
  <c r="B7" i="68"/>
  <c r="B8" i="68" s="1"/>
  <c r="B9" i="68" s="1"/>
  <c r="B10" i="68" s="1"/>
  <c r="B11" i="68" s="1"/>
  <c r="B12" i="68" s="1"/>
  <c r="B13" i="68" s="1"/>
  <c r="B14" i="68" s="1"/>
  <c r="B15" i="68" s="1"/>
  <c r="B16" i="68" s="1"/>
  <c r="B17" i="68" s="1"/>
  <c r="B18" i="68" s="1"/>
  <c r="B19" i="68" s="1"/>
  <c r="B20" i="68" s="1"/>
  <c r="B21" i="68" s="1"/>
  <c r="D58" i="31"/>
  <c r="H57" i="31"/>
  <c r="C17" i="31"/>
  <c r="D16" i="31"/>
  <c r="H16" i="31" s="1"/>
  <c r="D38" i="31"/>
  <c r="H38" i="31" s="1"/>
  <c r="M38" i="31" s="1"/>
  <c r="R38" i="31" s="1"/>
  <c r="C39" i="31"/>
  <c r="B9" i="63" l="1"/>
  <c r="K8" i="63"/>
  <c r="B18" i="57"/>
  <c r="L17" i="57"/>
  <c r="N17" i="57" s="1"/>
  <c r="O17" i="57" s="1"/>
  <c r="B15" i="74"/>
  <c r="K14" i="74"/>
  <c r="B17" i="58"/>
  <c r="L16" i="58"/>
  <c r="B6" i="71"/>
  <c r="B7" i="69"/>
  <c r="B8" i="69" s="1"/>
  <c r="B9" i="69" s="1"/>
  <c r="B10" i="69" s="1"/>
  <c r="B11" i="69" s="1"/>
  <c r="B12" i="69" s="1"/>
  <c r="B13" i="69" s="1"/>
  <c r="B14" i="69" s="1"/>
  <c r="B15" i="69" s="1"/>
  <c r="B16" i="69" s="1"/>
  <c r="B17" i="69" s="1"/>
  <c r="B18" i="69" s="1"/>
  <c r="B19" i="69" s="1"/>
  <c r="B20" i="69" s="1"/>
  <c r="B21" i="69" s="1"/>
  <c r="C18" i="31"/>
  <c r="D17" i="31"/>
  <c r="H17" i="31" s="1"/>
  <c r="C40" i="31"/>
  <c r="D39" i="31"/>
  <c r="H39" i="31" s="1"/>
  <c r="M39" i="31" s="1"/>
  <c r="R39" i="31" s="1"/>
  <c r="H58" i="31"/>
  <c r="D59" i="31"/>
  <c r="B10" i="63" l="1"/>
  <c r="K9" i="63"/>
  <c r="B19" i="57"/>
  <c r="L18" i="57"/>
  <c r="N18" i="57" s="1"/>
  <c r="O18" i="57" s="1"/>
  <c r="B18" i="58"/>
  <c r="L17" i="58"/>
  <c r="B16" i="74"/>
  <c r="K15" i="74"/>
  <c r="B6" i="70"/>
  <c r="L6" i="71"/>
  <c r="B7" i="71"/>
  <c r="B8" i="71" s="1"/>
  <c r="B9" i="71" s="1"/>
  <c r="B10" i="71" s="1"/>
  <c r="B11" i="71" s="1"/>
  <c r="B12" i="71" s="1"/>
  <c r="B13" i="71" s="1"/>
  <c r="B14" i="71" s="1"/>
  <c r="B15" i="71" s="1"/>
  <c r="B16" i="71" s="1"/>
  <c r="B17" i="71" s="1"/>
  <c r="B18" i="71" s="1"/>
  <c r="B19" i="71" s="1"/>
  <c r="B20" i="71" s="1"/>
  <c r="B21" i="71" s="1"/>
  <c r="D40" i="31"/>
  <c r="H40" i="31" s="1"/>
  <c r="M40" i="31" s="1"/>
  <c r="R40" i="31" s="1"/>
  <c r="C41" i="31"/>
  <c r="D60" i="31"/>
  <c r="H59" i="31"/>
  <c r="C19" i="31"/>
  <c r="D18" i="31"/>
  <c r="H18" i="31" s="1"/>
  <c r="L7" i="71" l="1"/>
  <c r="U6" i="71"/>
  <c r="B11" i="63"/>
  <c r="K10" i="63"/>
  <c r="B20" i="57"/>
  <c r="L19" i="57"/>
  <c r="N19" i="57" s="1"/>
  <c r="O19" i="57" s="1"/>
  <c r="B17" i="74"/>
  <c r="K16" i="74"/>
  <c r="B19" i="58"/>
  <c r="L18" i="58"/>
  <c r="B7" i="70"/>
  <c r="B8" i="70" s="1"/>
  <c r="B9" i="70" s="1"/>
  <c r="B10" i="70" s="1"/>
  <c r="B11" i="70" s="1"/>
  <c r="B12" i="70" s="1"/>
  <c r="B13" i="70" s="1"/>
  <c r="B14" i="70" s="1"/>
  <c r="B15" i="70" s="1"/>
  <c r="B16" i="70" s="1"/>
  <c r="B17" i="70" s="1"/>
  <c r="B18" i="70" s="1"/>
  <c r="B19" i="70" s="1"/>
  <c r="B20" i="70" s="1"/>
  <c r="B21" i="70" s="1"/>
  <c r="B6" i="73"/>
  <c r="D41" i="31"/>
  <c r="H41" i="31" s="1"/>
  <c r="M41" i="31" s="1"/>
  <c r="R41" i="31" s="1"/>
  <c r="C42" i="31"/>
  <c r="H60" i="31"/>
  <c r="D61" i="31"/>
  <c r="C20" i="31"/>
  <c r="D19" i="31"/>
  <c r="H19" i="31" s="1"/>
  <c r="L8" i="71" l="1"/>
  <c r="U7" i="71"/>
  <c r="B12" i="63"/>
  <c r="K11" i="63"/>
  <c r="B21" i="57"/>
  <c r="L21" i="57" s="1"/>
  <c r="N21" i="57" s="1"/>
  <c r="O21" i="57" s="1"/>
  <c r="L20" i="57"/>
  <c r="N20" i="57" s="1"/>
  <c r="O20" i="57" s="1"/>
  <c r="B20" i="58"/>
  <c r="L19" i="58"/>
  <c r="B18" i="74"/>
  <c r="K17" i="74"/>
  <c r="L6" i="73"/>
  <c r="L7" i="73" s="1"/>
  <c r="L8" i="73" s="1"/>
  <c r="L9" i="73" s="1"/>
  <c r="L10" i="73" s="1"/>
  <c r="L11" i="73" s="1"/>
  <c r="L12" i="73" s="1"/>
  <c r="L13" i="73" s="1"/>
  <c r="L14" i="73" s="1"/>
  <c r="L15" i="73" s="1"/>
  <c r="L16" i="73" s="1"/>
  <c r="L17" i="73" s="1"/>
  <c r="L18" i="73" s="1"/>
  <c r="L19" i="73" s="1"/>
  <c r="L20" i="73" s="1"/>
  <c r="L21" i="73" s="1"/>
  <c r="B7" i="73"/>
  <c r="B8" i="73" s="1"/>
  <c r="B9" i="73" s="1"/>
  <c r="B10" i="73" s="1"/>
  <c r="B11" i="73" s="1"/>
  <c r="B12" i="73" s="1"/>
  <c r="B13" i="73" s="1"/>
  <c r="B14" i="73" s="1"/>
  <c r="B15" i="73" s="1"/>
  <c r="B16" i="73" s="1"/>
  <c r="B17" i="73" s="1"/>
  <c r="B18" i="73" s="1"/>
  <c r="B19" i="73" s="1"/>
  <c r="B20" i="73" s="1"/>
  <c r="B21" i="73" s="1"/>
  <c r="B6" i="41"/>
  <c r="K6" i="41" s="1"/>
  <c r="D42" i="31"/>
  <c r="H42" i="31" s="1"/>
  <c r="M42" i="31" s="1"/>
  <c r="R42" i="31" s="1"/>
  <c r="C43" i="31"/>
  <c r="C21" i="31"/>
  <c r="D21" i="31" s="1"/>
  <c r="D20" i="31"/>
  <c r="H20" i="31" s="1"/>
  <c r="D62" i="31"/>
  <c r="H61" i="31"/>
  <c r="L9" i="71" l="1"/>
  <c r="U8" i="71"/>
  <c r="B13" i="63"/>
  <c r="K12" i="63"/>
  <c r="B19" i="74"/>
  <c r="K18" i="74"/>
  <c r="B21" i="58"/>
  <c r="L21" i="58" s="1"/>
  <c r="L20" i="58"/>
  <c r="B7" i="41"/>
  <c r="B6" i="42"/>
  <c r="K6" i="42" s="1"/>
  <c r="Q18" i="50"/>
  <c r="Q19" i="50" s="1"/>
  <c r="Q20" i="50" s="1"/>
  <c r="Q21" i="50" s="1"/>
  <c r="P18" i="50"/>
  <c r="D63" i="31"/>
  <c r="H62" i="31"/>
  <c r="C44" i="31"/>
  <c r="D44" i="31" s="1"/>
  <c r="D43" i="31"/>
  <c r="H43" i="31" s="1"/>
  <c r="M43" i="31" s="1"/>
  <c r="R43" i="31" s="1"/>
  <c r="L10" i="71" l="1"/>
  <c r="U9" i="71"/>
  <c r="B14" i="63"/>
  <c r="K13" i="63"/>
  <c r="B8" i="41"/>
  <c r="K7" i="41"/>
  <c r="P19" i="50"/>
  <c r="P20" i="50" s="1"/>
  <c r="P21" i="50" s="1"/>
  <c r="P15" i="50"/>
  <c r="B20" i="74"/>
  <c r="K19" i="74"/>
  <c r="B6" i="43"/>
  <c r="K6" i="43" s="1"/>
  <c r="B7" i="42"/>
  <c r="D64" i="31"/>
  <c r="H63" i="31"/>
  <c r="L11" i="71" l="1"/>
  <c r="U10" i="71"/>
  <c r="B15" i="63"/>
  <c r="K14" i="63"/>
  <c r="B8" i="42"/>
  <c r="K7" i="42"/>
  <c r="B9" i="41"/>
  <c r="K8" i="41"/>
  <c r="B21" i="74"/>
  <c r="K21" i="74" s="1"/>
  <c r="K20" i="74"/>
  <c r="B6" i="44"/>
  <c r="L6" i="44" s="1"/>
  <c r="B7" i="43"/>
  <c r="I21" i="55"/>
  <c r="H64" i="31"/>
  <c r="D65" i="31"/>
  <c r="L12" i="71" l="1"/>
  <c r="U11" i="71"/>
  <c r="B16" i="63"/>
  <c r="K15" i="63"/>
  <c r="B10" i="41"/>
  <c r="K9" i="41"/>
  <c r="B8" i="43"/>
  <c r="K7" i="43"/>
  <c r="B9" i="42"/>
  <c r="K8" i="42"/>
  <c r="B6" i="45"/>
  <c r="L6" i="45" s="1"/>
  <c r="B7" i="44"/>
  <c r="H65" i="31"/>
  <c r="D66" i="31"/>
  <c r="L13" i="71" l="1"/>
  <c r="U12" i="71"/>
  <c r="B17" i="63"/>
  <c r="K16" i="63"/>
  <c r="B9" i="43"/>
  <c r="K8" i="43"/>
  <c r="B10" i="42"/>
  <c r="K9" i="42"/>
  <c r="B11" i="41"/>
  <c r="K10" i="41"/>
  <c r="B8" i="44"/>
  <c r="L7" i="44"/>
  <c r="B6" i="46"/>
  <c r="L6" i="46" s="1"/>
  <c r="B7" i="45"/>
  <c r="Q45" i="55"/>
  <c r="Q46" i="55" s="1"/>
  <c r="P45" i="55"/>
  <c r="P46" i="55" s="1"/>
  <c r="D67" i="31"/>
  <c r="H66" i="31"/>
  <c r="D6" i="55"/>
  <c r="C7" i="55"/>
  <c r="L14" i="71" l="1"/>
  <c r="U13" i="71"/>
  <c r="B18" i="63"/>
  <c r="K17" i="63"/>
  <c r="B11" i="42"/>
  <c r="K10" i="42"/>
  <c r="B12" i="41"/>
  <c r="K11" i="41"/>
  <c r="B10" i="43"/>
  <c r="K9" i="43"/>
  <c r="B8" i="45"/>
  <c r="L7" i="45"/>
  <c r="B9" i="44"/>
  <c r="L8" i="44"/>
  <c r="B6" i="79"/>
  <c r="L6" i="79" s="1"/>
  <c r="B7" i="46"/>
  <c r="D7" i="55"/>
  <c r="H7" i="55" s="1"/>
  <c r="C8" i="55"/>
  <c r="E6" i="55"/>
  <c r="E7" i="55" s="1"/>
  <c r="E8" i="55" s="1"/>
  <c r="E9" i="55" s="1"/>
  <c r="E10" i="55" s="1"/>
  <c r="E11" i="55" s="1"/>
  <c r="E12" i="55" s="1"/>
  <c r="E13" i="55" s="1"/>
  <c r="E14" i="55" s="1"/>
  <c r="E15" i="55" s="1"/>
  <c r="E16" i="55" s="1"/>
  <c r="E17" i="55" s="1"/>
  <c r="E18" i="55" s="1"/>
  <c r="E19" i="55" s="1"/>
  <c r="E20" i="55" s="1"/>
  <c r="E21" i="55" s="1"/>
  <c r="H6" i="55"/>
  <c r="D68" i="31"/>
  <c r="H67" i="31"/>
  <c r="L15" i="71" l="1"/>
  <c r="U14" i="71"/>
  <c r="B19" i="63"/>
  <c r="K18" i="63"/>
  <c r="B11" i="43"/>
  <c r="K10" i="43"/>
  <c r="B13" i="41"/>
  <c r="K12" i="41"/>
  <c r="B12" i="42"/>
  <c r="K11" i="42"/>
  <c r="B10" i="44"/>
  <c r="L9" i="44"/>
  <c r="B8" i="46"/>
  <c r="L7" i="46"/>
  <c r="B9" i="45"/>
  <c r="L8" i="45"/>
  <c r="B7" i="79"/>
  <c r="B6" i="47"/>
  <c r="J6" i="47" s="1"/>
  <c r="C9" i="55"/>
  <c r="D8" i="55"/>
  <c r="H8" i="55" s="1"/>
  <c r="L16" i="71" l="1"/>
  <c r="U15" i="71"/>
  <c r="B20" i="63"/>
  <c r="K19" i="63"/>
  <c r="B14" i="41"/>
  <c r="K13" i="41"/>
  <c r="B13" i="42"/>
  <c r="K12" i="42"/>
  <c r="B12" i="43"/>
  <c r="K11" i="43"/>
  <c r="B8" i="79"/>
  <c r="L7" i="79"/>
  <c r="B10" i="45"/>
  <c r="L9" i="45"/>
  <c r="B9" i="46"/>
  <c r="L8" i="46"/>
  <c r="B11" i="44"/>
  <c r="L10" i="44"/>
  <c r="B6" i="76"/>
  <c r="J6" i="76" s="1"/>
  <c r="B7" i="47"/>
  <c r="D9" i="55"/>
  <c r="H9" i="55" s="1"/>
  <c r="C10" i="55"/>
  <c r="L17" i="71" l="1"/>
  <c r="U16" i="71"/>
  <c r="B21" i="63"/>
  <c r="K21" i="63" s="1"/>
  <c r="K20" i="63"/>
  <c r="B14" i="42"/>
  <c r="K13" i="42"/>
  <c r="B13" i="43"/>
  <c r="K12" i="43"/>
  <c r="B15" i="41"/>
  <c r="K14" i="41"/>
  <c r="B12" i="44"/>
  <c r="L11" i="44"/>
  <c r="B8" i="47"/>
  <c r="J7" i="47"/>
  <c r="B10" i="46"/>
  <c r="L9" i="46"/>
  <c r="B11" i="45"/>
  <c r="L10" i="45"/>
  <c r="B9" i="79"/>
  <c r="L8" i="79"/>
  <c r="B6" i="65"/>
  <c r="L6" i="65" s="1"/>
  <c r="B7" i="76"/>
  <c r="C11" i="55"/>
  <c r="D10" i="55"/>
  <c r="H10" i="55" s="1"/>
  <c r="L18" i="71" l="1"/>
  <c r="U17" i="71"/>
  <c r="B14" i="43"/>
  <c r="K13" i="43"/>
  <c r="B16" i="41"/>
  <c r="K15" i="41"/>
  <c r="B15" i="42"/>
  <c r="K14" i="42"/>
  <c r="B11" i="46"/>
  <c r="L10" i="46"/>
  <c r="B12" i="45"/>
  <c r="L11" i="45"/>
  <c r="B9" i="47"/>
  <c r="J8" i="47"/>
  <c r="B10" i="79"/>
  <c r="L9" i="79"/>
  <c r="B13" i="44"/>
  <c r="L12" i="44"/>
  <c r="B8" i="76"/>
  <c r="J7" i="76"/>
  <c r="B30" i="67"/>
  <c r="P30" i="67" s="1"/>
  <c r="B7" i="65"/>
  <c r="B6" i="67"/>
  <c r="D31" i="55"/>
  <c r="C32" i="55"/>
  <c r="C12" i="55"/>
  <c r="D11" i="55"/>
  <c r="H11" i="55" s="1"/>
  <c r="L19" i="71" l="1"/>
  <c r="U18" i="71"/>
  <c r="B16" i="42"/>
  <c r="K15" i="42"/>
  <c r="B17" i="41"/>
  <c r="K16" i="41"/>
  <c r="B15" i="43"/>
  <c r="K14" i="43"/>
  <c r="B10" i="47"/>
  <c r="J9" i="47"/>
  <c r="B11" i="79"/>
  <c r="L10" i="79"/>
  <c r="B13" i="45"/>
  <c r="L12" i="45"/>
  <c r="B14" i="44"/>
  <c r="L13" i="44"/>
  <c r="B12" i="46"/>
  <c r="L11" i="46"/>
  <c r="B9" i="76"/>
  <c r="J8" i="76"/>
  <c r="B7" i="67"/>
  <c r="P6" i="67"/>
  <c r="B8" i="65"/>
  <c r="L7" i="65"/>
  <c r="B6" i="48"/>
  <c r="L6" i="48" s="1"/>
  <c r="B31" i="67"/>
  <c r="C13" i="55"/>
  <c r="D12" i="55"/>
  <c r="H12" i="55" s="1"/>
  <c r="C33" i="55"/>
  <c r="D32" i="55"/>
  <c r="H32" i="55" s="1"/>
  <c r="M32" i="55" s="1"/>
  <c r="H31" i="55"/>
  <c r="M31" i="55" s="1"/>
  <c r="E31" i="55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L20" i="71" l="1"/>
  <c r="U19" i="71"/>
  <c r="B16" i="43"/>
  <c r="K15" i="43"/>
  <c r="B18" i="41"/>
  <c r="K17" i="41"/>
  <c r="B17" i="42"/>
  <c r="K16" i="42"/>
  <c r="B15" i="44"/>
  <c r="L14" i="44"/>
  <c r="B12" i="79"/>
  <c r="L11" i="79"/>
  <c r="B14" i="45"/>
  <c r="L13" i="45"/>
  <c r="B13" i="46"/>
  <c r="L12" i="46"/>
  <c r="B11" i="47"/>
  <c r="J10" i="47"/>
  <c r="B10" i="76"/>
  <c r="J9" i="76"/>
  <c r="B32" i="67"/>
  <c r="P31" i="67"/>
  <c r="B9" i="65"/>
  <c r="L8" i="65"/>
  <c r="B8" i="67"/>
  <c r="P7" i="67"/>
  <c r="B6" i="49"/>
  <c r="T6" i="49" s="1"/>
  <c r="B7" i="48"/>
  <c r="C14" i="55"/>
  <c r="D13" i="55"/>
  <c r="H13" i="55" s="1"/>
  <c r="D33" i="55"/>
  <c r="H33" i="55" s="1"/>
  <c r="M33" i="55" s="1"/>
  <c r="C34" i="55"/>
  <c r="L21" i="71" l="1"/>
  <c r="U21" i="71" s="1"/>
  <c r="U20" i="71"/>
  <c r="B18" i="42"/>
  <c r="K17" i="42"/>
  <c r="B19" i="41"/>
  <c r="K18" i="41"/>
  <c r="B17" i="43"/>
  <c r="K16" i="43"/>
  <c r="B14" i="46"/>
  <c r="L13" i="46"/>
  <c r="B15" i="45"/>
  <c r="L14" i="45"/>
  <c r="B13" i="79"/>
  <c r="L12" i="79"/>
  <c r="B12" i="47"/>
  <c r="J11" i="47"/>
  <c r="B16" i="44"/>
  <c r="L15" i="44"/>
  <c r="B11" i="76"/>
  <c r="J10" i="76"/>
  <c r="B9" i="67"/>
  <c r="P8" i="67"/>
  <c r="B33" i="67"/>
  <c r="P32" i="67"/>
  <c r="B8" i="48"/>
  <c r="L7" i="48"/>
  <c r="B10" i="65"/>
  <c r="L9" i="65"/>
  <c r="B6" i="82"/>
  <c r="T6" i="82" s="1"/>
  <c r="B29" i="49"/>
  <c r="B7" i="49"/>
  <c r="C35" i="55"/>
  <c r="D34" i="55"/>
  <c r="H34" i="55" s="1"/>
  <c r="M34" i="55" s="1"/>
  <c r="C15" i="55"/>
  <c r="D14" i="55"/>
  <c r="H14" i="55" s="1"/>
  <c r="B18" i="43" l="1"/>
  <c r="K17" i="43"/>
  <c r="B20" i="41"/>
  <c r="K19" i="41"/>
  <c r="B19" i="42"/>
  <c r="K18" i="42"/>
  <c r="B14" i="79"/>
  <c r="L13" i="79"/>
  <c r="B13" i="47"/>
  <c r="J12" i="47"/>
  <c r="B16" i="45"/>
  <c r="L15" i="45"/>
  <c r="B17" i="44"/>
  <c r="L16" i="44"/>
  <c r="B15" i="46"/>
  <c r="L14" i="46"/>
  <c r="B12" i="76"/>
  <c r="J11" i="76"/>
  <c r="B10" i="67"/>
  <c r="P9" i="67"/>
  <c r="B9" i="48"/>
  <c r="L8" i="48"/>
  <c r="B11" i="65"/>
  <c r="L10" i="65"/>
  <c r="B8" i="49"/>
  <c r="T7" i="49"/>
  <c r="B34" i="67"/>
  <c r="P33" i="67"/>
  <c r="B30" i="49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L29" i="49"/>
  <c r="L30" i="49" s="1"/>
  <c r="L31" i="49" s="1"/>
  <c r="L32" i="49" s="1"/>
  <c r="L33" i="49" s="1"/>
  <c r="L34" i="49" s="1"/>
  <c r="L35" i="49" s="1"/>
  <c r="L36" i="49" s="1"/>
  <c r="L37" i="49" s="1"/>
  <c r="L38" i="49" s="1"/>
  <c r="L39" i="49" s="1"/>
  <c r="L40" i="49" s="1"/>
  <c r="L41" i="49" s="1"/>
  <c r="L42" i="49" s="1"/>
  <c r="L43" i="49" s="1"/>
  <c r="L44" i="49" s="1"/>
  <c r="B29" i="82"/>
  <c r="T29" i="82" s="1"/>
  <c r="B7" i="82"/>
  <c r="D15" i="55"/>
  <c r="H15" i="55" s="1"/>
  <c r="C16" i="55"/>
  <c r="D35" i="55"/>
  <c r="H35" i="55" s="1"/>
  <c r="M35" i="55" s="1"/>
  <c r="C36" i="55"/>
  <c r="B20" i="42" l="1"/>
  <c r="K19" i="42"/>
  <c r="B21" i="41"/>
  <c r="K21" i="41" s="1"/>
  <c r="K20" i="41"/>
  <c r="B19" i="43"/>
  <c r="K18" i="43"/>
  <c r="B18" i="44"/>
  <c r="L17" i="44"/>
  <c r="B17" i="45"/>
  <c r="L16" i="45"/>
  <c r="B14" i="47"/>
  <c r="J13" i="47"/>
  <c r="B16" i="46"/>
  <c r="L15" i="46"/>
  <c r="B15" i="79"/>
  <c r="L14" i="79"/>
  <c r="B13" i="76"/>
  <c r="J12" i="76"/>
  <c r="B11" i="67"/>
  <c r="P10" i="67"/>
  <c r="B9" i="49"/>
  <c r="T8" i="49"/>
  <c r="B8" i="82"/>
  <c r="T7" i="82"/>
  <c r="B12" i="65"/>
  <c r="L11" i="65"/>
  <c r="B35" i="67"/>
  <c r="P34" i="67"/>
  <c r="B10" i="48"/>
  <c r="L9" i="48"/>
  <c r="B30" i="82"/>
  <c r="L29" i="82"/>
  <c r="L30" i="82" s="1"/>
  <c r="L31" i="82" s="1"/>
  <c r="L32" i="82" s="1"/>
  <c r="L33" i="82" s="1"/>
  <c r="L34" i="82" s="1"/>
  <c r="L35" i="82" s="1"/>
  <c r="L36" i="82" s="1"/>
  <c r="L37" i="82" s="1"/>
  <c r="L38" i="82" s="1"/>
  <c r="L39" i="82" s="1"/>
  <c r="L40" i="82" s="1"/>
  <c r="L41" i="82" s="1"/>
  <c r="L42" i="82" s="1"/>
  <c r="L43" i="82" s="1"/>
  <c r="L44" i="82" s="1"/>
  <c r="B52" i="82"/>
  <c r="C37" i="55"/>
  <c r="D36" i="55"/>
  <c r="H36" i="55" s="1"/>
  <c r="M36" i="55" s="1"/>
  <c r="D16" i="55"/>
  <c r="H16" i="55" s="1"/>
  <c r="C17" i="55"/>
  <c r="B20" i="43" l="1"/>
  <c r="K19" i="43"/>
  <c r="B21" i="42"/>
  <c r="K21" i="42" s="1"/>
  <c r="K20" i="42"/>
  <c r="B15" i="47"/>
  <c r="J14" i="47"/>
  <c r="B17" i="46"/>
  <c r="L16" i="46"/>
  <c r="B18" i="45"/>
  <c r="L17" i="45"/>
  <c r="B16" i="79"/>
  <c r="L15" i="79"/>
  <c r="B19" i="44"/>
  <c r="L18" i="44"/>
  <c r="B14" i="76"/>
  <c r="J13" i="76"/>
  <c r="B36" i="67"/>
  <c r="P35" i="67"/>
  <c r="B53" i="82"/>
  <c r="T52" i="82"/>
  <c r="B9" i="82"/>
  <c r="T8" i="82"/>
  <c r="B13" i="65"/>
  <c r="L12" i="65"/>
  <c r="B31" i="82"/>
  <c r="T30" i="82"/>
  <c r="B10" i="49"/>
  <c r="T9" i="49"/>
  <c r="B11" i="48"/>
  <c r="L10" i="48"/>
  <c r="B12" i="67"/>
  <c r="P11" i="67"/>
  <c r="C38" i="55"/>
  <c r="D37" i="55"/>
  <c r="H37" i="55" s="1"/>
  <c r="M37" i="55" s="1"/>
  <c r="C18" i="55"/>
  <c r="D17" i="55"/>
  <c r="H17" i="55" s="1"/>
  <c r="B21" i="43" l="1"/>
  <c r="K21" i="43" s="1"/>
  <c r="K20" i="43"/>
  <c r="B19" i="45"/>
  <c r="L18" i="45"/>
  <c r="B18" i="46"/>
  <c r="L17" i="46"/>
  <c r="B17" i="79"/>
  <c r="L16" i="79"/>
  <c r="B20" i="44"/>
  <c r="L19" i="44"/>
  <c r="B16" i="47"/>
  <c r="J15" i="47"/>
  <c r="B15" i="76"/>
  <c r="J14" i="76"/>
  <c r="B14" i="65"/>
  <c r="L13" i="65"/>
  <c r="B12" i="48"/>
  <c r="L11" i="48"/>
  <c r="B10" i="82"/>
  <c r="T9" i="82"/>
  <c r="B13" i="67"/>
  <c r="P12" i="67"/>
  <c r="B11" i="49"/>
  <c r="T10" i="49"/>
  <c r="B54" i="82"/>
  <c r="T53" i="82"/>
  <c r="B32" i="82"/>
  <c r="T31" i="82"/>
  <c r="B37" i="67"/>
  <c r="P36" i="67"/>
  <c r="D18" i="55"/>
  <c r="H18" i="55" s="1"/>
  <c r="C19" i="55"/>
  <c r="C39" i="55"/>
  <c r="D38" i="55"/>
  <c r="H38" i="55" s="1"/>
  <c r="M38" i="55" s="1"/>
  <c r="B21" i="44" l="1"/>
  <c r="L21" i="44" s="1"/>
  <c r="L20" i="44"/>
  <c r="B18" i="79"/>
  <c r="L17" i="79"/>
  <c r="B19" i="46"/>
  <c r="L18" i="46"/>
  <c r="B17" i="47"/>
  <c r="J16" i="47"/>
  <c r="B20" i="45"/>
  <c r="L19" i="45"/>
  <c r="B16" i="76"/>
  <c r="J15" i="76"/>
  <c r="B11" i="82"/>
  <c r="T10" i="82"/>
  <c r="B12" i="49"/>
  <c r="T11" i="49"/>
  <c r="B14" i="67"/>
  <c r="P13" i="67"/>
  <c r="B55" i="82"/>
  <c r="T54" i="82"/>
  <c r="B13" i="48"/>
  <c r="L12" i="48"/>
  <c r="B15" i="65"/>
  <c r="L14" i="65"/>
  <c r="B38" i="67"/>
  <c r="P37" i="67"/>
  <c r="B33" i="82"/>
  <c r="T32" i="82"/>
  <c r="C40" i="55"/>
  <c r="D39" i="55"/>
  <c r="H39" i="55" s="1"/>
  <c r="M39" i="55" s="1"/>
  <c r="D19" i="55"/>
  <c r="H19" i="55" s="1"/>
  <c r="C20" i="55"/>
  <c r="B20" i="46" l="1"/>
  <c r="L19" i="46"/>
  <c r="B19" i="79"/>
  <c r="L18" i="79"/>
  <c r="B18" i="47"/>
  <c r="J17" i="47"/>
  <c r="B21" i="45"/>
  <c r="L21" i="45" s="1"/>
  <c r="L20" i="45"/>
  <c r="B17" i="76"/>
  <c r="J16" i="76"/>
  <c r="B14" i="48"/>
  <c r="L13" i="48"/>
  <c r="B39" i="67"/>
  <c r="P38" i="67"/>
  <c r="B15" i="67"/>
  <c r="P14" i="67"/>
  <c r="B34" i="82"/>
  <c r="T33" i="82"/>
  <c r="B16" i="65"/>
  <c r="L15" i="65"/>
  <c r="B13" i="49"/>
  <c r="T12" i="49"/>
  <c r="B12" i="82"/>
  <c r="T11" i="82"/>
  <c r="B56" i="82"/>
  <c r="T55" i="82"/>
  <c r="C21" i="55"/>
  <c r="D21" i="55" s="1"/>
  <c r="H21" i="55" s="1"/>
  <c r="D20" i="55"/>
  <c r="H20" i="55" s="1"/>
  <c r="D40" i="55"/>
  <c r="H40" i="55" s="1"/>
  <c r="M40" i="55" s="1"/>
  <c r="R40" i="55" s="1"/>
  <c r="C41" i="55"/>
  <c r="B20" i="79" l="1"/>
  <c r="L19" i="79"/>
  <c r="B19" i="47"/>
  <c r="J18" i="47"/>
  <c r="B21" i="46"/>
  <c r="L21" i="46" s="1"/>
  <c r="L20" i="46"/>
  <c r="B18" i="76"/>
  <c r="J17" i="76"/>
  <c r="B16" i="67"/>
  <c r="P15" i="67"/>
  <c r="B15" i="48"/>
  <c r="L14" i="48"/>
  <c r="B57" i="82"/>
  <c r="T56" i="82"/>
  <c r="B40" i="67"/>
  <c r="P39" i="67"/>
  <c r="B17" i="65"/>
  <c r="L16" i="65"/>
  <c r="B35" i="82"/>
  <c r="T34" i="82"/>
  <c r="B13" i="82"/>
  <c r="T12" i="82"/>
  <c r="B14" i="49"/>
  <c r="T13" i="49"/>
  <c r="C42" i="55"/>
  <c r="D41" i="55"/>
  <c r="H41" i="55" s="1"/>
  <c r="M41" i="55" s="1"/>
  <c r="R41" i="55" s="1"/>
  <c r="B20" i="47" l="1"/>
  <c r="J19" i="47"/>
  <c r="B21" i="79"/>
  <c r="L21" i="79" s="1"/>
  <c r="L20" i="79"/>
  <c r="B19" i="76"/>
  <c r="J18" i="76"/>
  <c r="B18" i="65"/>
  <c r="L17" i="65"/>
  <c r="B41" i="67"/>
  <c r="P40" i="67"/>
  <c r="B58" i="82"/>
  <c r="T57" i="82"/>
  <c r="B17" i="67"/>
  <c r="P16" i="67"/>
  <c r="B15" i="49"/>
  <c r="T14" i="49"/>
  <c r="B14" i="82"/>
  <c r="T13" i="82"/>
  <c r="B36" i="82"/>
  <c r="T35" i="82"/>
  <c r="B16" i="48"/>
  <c r="L15" i="48"/>
  <c r="D42" i="55"/>
  <c r="H42" i="55" s="1"/>
  <c r="M42" i="55" s="1"/>
  <c r="R42" i="55" s="1"/>
  <c r="C43" i="55"/>
  <c r="B21" i="47" l="1"/>
  <c r="J21" i="47" s="1"/>
  <c r="J20" i="47"/>
  <c r="B20" i="76"/>
  <c r="J19" i="76"/>
  <c r="B17" i="48"/>
  <c r="L16" i="48"/>
  <c r="B37" i="82"/>
  <c r="T36" i="82"/>
  <c r="B59" i="82"/>
  <c r="T58" i="82"/>
  <c r="B16" i="49"/>
  <c r="T15" i="49"/>
  <c r="B15" i="82"/>
  <c r="T14" i="82"/>
  <c r="B42" i="67"/>
  <c r="P41" i="67"/>
  <c r="B18" i="67"/>
  <c r="P17" i="67"/>
  <c r="B19" i="65"/>
  <c r="L18" i="65"/>
  <c r="P20" i="71"/>
  <c r="P21" i="71" s="1"/>
  <c r="D43" i="55"/>
  <c r="H43" i="55" s="1"/>
  <c r="M43" i="55" s="1"/>
  <c r="R43" i="55" s="1"/>
  <c r="C44" i="55"/>
  <c r="B21" i="76" l="1"/>
  <c r="J21" i="76" s="1"/>
  <c r="J20" i="76"/>
  <c r="B20" i="65"/>
  <c r="L19" i="65"/>
  <c r="B19" i="67"/>
  <c r="P18" i="67"/>
  <c r="B60" i="82"/>
  <c r="T59" i="82"/>
  <c r="B18" i="48"/>
  <c r="L17" i="48"/>
  <c r="B16" i="82"/>
  <c r="T15" i="82"/>
  <c r="B17" i="49"/>
  <c r="T16" i="49"/>
  <c r="B43" i="67"/>
  <c r="P42" i="67"/>
  <c r="B38" i="82"/>
  <c r="T37" i="82"/>
  <c r="D44" i="55"/>
  <c r="H44" i="55" s="1"/>
  <c r="C45" i="55"/>
  <c r="B39" i="82" l="1"/>
  <c r="T38" i="82"/>
  <c r="B44" i="67"/>
  <c r="P43" i="67"/>
  <c r="B61" i="82"/>
  <c r="T60" i="82"/>
  <c r="B21" i="65"/>
  <c r="L21" i="65" s="1"/>
  <c r="L20" i="65"/>
  <c r="B17" i="82"/>
  <c r="T16" i="82"/>
  <c r="B19" i="48"/>
  <c r="L18" i="48"/>
  <c r="B18" i="49"/>
  <c r="T17" i="49"/>
  <c r="B20" i="67"/>
  <c r="P19" i="67"/>
  <c r="M44" i="55"/>
  <c r="R44" i="55" s="1"/>
  <c r="D45" i="55"/>
  <c r="H45" i="55" s="1"/>
  <c r="M45" i="55" s="1"/>
  <c r="R45" i="55" s="1"/>
  <c r="C46" i="55"/>
  <c r="D46" i="55" s="1"/>
  <c r="H46" i="55" s="1"/>
  <c r="M46" i="55" s="1"/>
  <c r="R46" i="55" s="1"/>
  <c r="B19" i="49" l="1"/>
  <c r="T18" i="49"/>
  <c r="B62" i="82"/>
  <c r="T61" i="82"/>
  <c r="B18" i="82"/>
  <c r="T17" i="82"/>
  <c r="B21" i="67"/>
  <c r="P21" i="67" s="1"/>
  <c r="P20" i="67"/>
  <c r="B40" i="82"/>
  <c r="T39" i="82"/>
  <c r="B20" i="48"/>
  <c r="L19" i="48"/>
  <c r="B45" i="67"/>
  <c r="P45" i="67" s="1"/>
  <c r="P44" i="67"/>
  <c r="C7" i="82"/>
  <c r="D6" i="82"/>
  <c r="E6" i="82" s="1"/>
  <c r="B63" i="82" l="1"/>
  <c r="T62" i="82"/>
  <c r="B19" i="82"/>
  <c r="T18" i="82"/>
  <c r="B21" i="48"/>
  <c r="L21" i="48" s="1"/>
  <c r="L20" i="48"/>
  <c r="B41" i="82"/>
  <c r="T40" i="82"/>
  <c r="B20" i="49"/>
  <c r="T19" i="49"/>
  <c r="H6" i="82"/>
  <c r="C8" i="82"/>
  <c r="D7" i="82"/>
  <c r="H7" i="82" s="1"/>
  <c r="B42" i="82" l="1"/>
  <c r="T41" i="82"/>
  <c r="B20" i="82"/>
  <c r="T19" i="82"/>
  <c r="B21" i="49"/>
  <c r="T21" i="49" s="1"/>
  <c r="T20" i="49"/>
  <c r="B64" i="82"/>
  <c r="T63" i="82"/>
  <c r="C9" i="82"/>
  <c r="D8" i="82"/>
  <c r="H8" i="82" s="1"/>
  <c r="D6" i="41"/>
  <c r="C7" i="41"/>
  <c r="B43" i="82" l="1"/>
  <c r="T42" i="82"/>
  <c r="B65" i="82"/>
  <c r="T64" i="82"/>
  <c r="B21" i="82"/>
  <c r="T21" i="82" s="1"/>
  <c r="T20" i="82"/>
  <c r="H6" i="41"/>
  <c r="E6" i="41"/>
  <c r="C7" i="45"/>
  <c r="D6" i="45"/>
  <c r="D6" i="48"/>
  <c r="C7" i="48"/>
  <c r="D7" i="41"/>
  <c r="H7" i="41" s="1"/>
  <c r="C8" i="41"/>
  <c r="D9" i="82"/>
  <c r="H9" i="82" s="1"/>
  <c r="C10" i="82"/>
  <c r="I21" i="79"/>
  <c r="B66" i="82" l="1"/>
  <c r="T65" i="82"/>
  <c r="B44" i="82"/>
  <c r="T44" i="82" s="1"/>
  <c r="T43" i="82"/>
  <c r="H6" i="45"/>
  <c r="E6" i="45"/>
  <c r="H6" i="48"/>
  <c r="E6" i="48"/>
  <c r="D30" i="67"/>
  <c r="C31" i="67"/>
  <c r="L30" i="67"/>
  <c r="D10" i="82"/>
  <c r="H10" i="82" s="1"/>
  <c r="C11" i="82"/>
  <c r="C8" i="48"/>
  <c r="D7" i="48"/>
  <c r="H7" i="48" s="1"/>
  <c r="D6" i="49"/>
  <c r="C7" i="49"/>
  <c r="C9" i="41"/>
  <c r="D8" i="41"/>
  <c r="H8" i="41" s="1"/>
  <c r="C8" i="45"/>
  <c r="D7" i="45"/>
  <c r="H7" i="45" s="1"/>
  <c r="B67" i="82" l="1"/>
  <c r="T67" i="82" s="1"/>
  <c r="T66" i="82"/>
  <c r="H6" i="49"/>
  <c r="E6" i="49"/>
  <c r="D7" i="49"/>
  <c r="H7" i="49" s="1"/>
  <c r="C8" i="49"/>
  <c r="C9" i="48"/>
  <c r="D8" i="48"/>
  <c r="H8" i="48" s="1"/>
  <c r="D31" i="67"/>
  <c r="C32" i="67"/>
  <c r="L31" i="67"/>
  <c r="D8" i="45"/>
  <c r="H8" i="45" s="1"/>
  <c r="C9" i="45"/>
  <c r="C12" i="82"/>
  <c r="D11" i="82"/>
  <c r="H11" i="82" s="1"/>
  <c r="H30" i="67"/>
  <c r="K30" i="67" s="1"/>
  <c r="N30" i="67"/>
  <c r="D9" i="41"/>
  <c r="H9" i="41" s="1"/>
  <c r="C10" i="41"/>
  <c r="C30" i="82" l="1"/>
  <c r="D29" i="82"/>
  <c r="C10" i="45"/>
  <c r="D9" i="45"/>
  <c r="H9" i="45" s="1"/>
  <c r="D8" i="49"/>
  <c r="H8" i="49" s="1"/>
  <c r="C9" i="49"/>
  <c r="D10" i="41"/>
  <c r="H10" i="41" s="1"/>
  <c r="C11" i="41"/>
  <c r="N31" i="67"/>
  <c r="H31" i="67"/>
  <c r="K31" i="67" s="1"/>
  <c r="C33" i="67"/>
  <c r="L32" i="67"/>
  <c r="D32" i="67"/>
  <c r="C13" i="82"/>
  <c r="D12" i="82"/>
  <c r="H12" i="82" s="1"/>
  <c r="D9" i="48"/>
  <c r="H9" i="48" s="1"/>
  <c r="C10" i="48"/>
  <c r="H29" i="82" l="1"/>
  <c r="E29" i="82"/>
  <c r="D29" i="49"/>
  <c r="C30" i="49"/>
  <c r="D9" i="49"/>
  <c r="H9" i="49" s="1"/>
  <c r="C10" i="49"/>
  <c r="D13" i="82"/>
  <c r="H13" i="82" s="1"/>
  <c r="C14" i="82"/>
  <c r="L33" i="67"/>
  <c r="D33" i="67"/>
  <c r="C34" i="67"/>
  <c r="C12" i="41"/>
  <c r="D11" i="41"/>
  <c r="H11" i="41" s="1"/>
  <c r="D10" i="48"/>
  <c r="H10" i="48" s="1"/>
  <c r="C11" i="48"/>
  <c r="C11" i="45"/>
  <c r="D10" i="45"/>
  <c r="H10" i="45" s="1"/>
  <c r="N32" i="67"/>
  <c r="H32" i="67"/>
  <c r="K32" i="67" s="1"/>
  <c r="D30" i="82"/>
  <c r="H30" i="82" s="1"/>
  <c r="C31" i="82"/>
  <c r="H29" i="49" l="1"/>
  <c r="E29" i="49"/>
  <c r="C15" i="82"/>
  <c r="D14" i="82"/>
  <c r="H14" i="82" s="1"/>
  <c r="N33" i="67"/>
  <c r="H33" i="67"/>
  <c r="K33" i="67" s="1"/>
  <c r="C11" i="49"/>
  <c r="D10" i="49"/>
  <c r="H10" i="49" s="1"/>
  <c r="D11" i="45"/>
  <c r="H11" i="45" s="1"/>
  <c r="C12" i="45"/>
  <c r="D12" i="41"/>
  <c r="H12" i="41" s="1"/>
  <c r="C13" i="41"/>
  <c r="D30" i="49"/>
  <c r="H30" i="49" s="1"/>
  <c r="C31" i="49"/>
  <c r="D31" i="82"/>
  <c r="H31" i="82" s="1"/>
  <c r="C32" i="82"/>
  <c r="C12" i="48"/>
  <c r="D11" i="48"/>
  <c r="H11" i="48" s="1"/>
  <c r="C35" i="67"/>
  <c r="L34" i="67"/>
  <c r="D34" i="67"/>
  <c r="D32" i="82" l="1"/>
  <c r="H32" i="82" s="1"/>
  <c r="C33" i="82"/>
  <c r="D13" i="41"/>
  <c r="H13" i="41" s="1"/>
  <c r="C14" i="41"/>
  <c r="D11" i="49"/>
  <c r="H11" i="49" s="1"/>
  <c r="C12" i="49"/>
  <c r="H34" i="67"/>
  <c r="K34" i="67" s="1"/>
  <c r="N34" i="67"/>
  <c r="D12" i="48"/>
  <c r="H12" i="48" s="1"/>
  <c r="C13" i="48"/>
  <c r="D35" i="67"/>
  <c r="L35" i="67"/>
  <c r="C36" i="67"/>
  <c r="D31" i="49"/>
  <c r="H31" i="49" s="1"/>
  <c r="C32" i="49"/>
  <c r="D12" i="45"/>
  <c r="H12" i="45" s="1"/>
  <c r="C13" i="45"/>
  <c r="C16" i="82"/>
  <c r="D15" i="82"/>
  <c r="H15" i="82" s="1"/>
  <c r="D13" i="48" l="1"/>
  <c r="H13" i="48" s="1"/>
  <c r="C14" i="48"/>
  <c r="D36" i="67"/>
  <c r="L36" i="67"/>
  <c r="C37" i="67"/>
  <c r="C13" i="49"/>
  <c r="D12" i="49"/>
  <c r="H12" i="49" s="1"/>
  <c r="C34" i="82"/>
  <c r="D33" i="82"/>
  <c r="H33" i="82" s="1"/>
  <c r="C17" i="82"/>
  <c r="D16" i="82"/>
  <c r="H16" i="82" s="1"/>
  <c r="H35" i="67"/>
  <c r="K35" i="67" s="1"/>
  <c r="N35" i="67"/>
  <c r="D14" i="41"/>
  <c r="H14" i="41" s="1"/>
  <c r="C15" i="41"/>
  <c r="C7" i="42"/>
  <c r="D6" i="42"/>
  <c r="D13" i="45"/>
  <c r="H13" i="45" s="1"/>
  <c r="C14" i="45"/>
  <c r="C33" i="49"/>
  <c r="D32" i="49"/>
  <c r="H32" i="49" s="1"/>
  <c r="H6" i="42" l="1"/>
  <c r="E6" i="42"/>
  <c r="C35" i="82"/>
  <c r="D34" i="82"/>
  <c r="H34" i="82" s="1"/>
  <c r="D17" i="82"/>
  <c r="H17" i="82" s="1"/>
  <c r="C18" i="82"/>
  <c r="N36" i="67"/>
  <c r="H36" i="67"/>
  <c r="K36" i="67" s="1"/>
  <c r="C34" i="49"/>
  <c r="D33" i="49"/>
  <c r="H33" i="49" s="1"/>
  <c r="D7" i="42"/>
  <c r="H7" i="42" s="1"/>
  <c r="C8" i="42"/>
  <c r="C7" i="44"/>
  <c r="D6" i="44"/>
  <c r="C14" i="49"/>
  <c r="D13" i="49"/>
  <c r="H13" i="49" s="1"/>
  <c r="C15" i="48"/>
  <c r="D14" i="48"/>
  <c r="H14" i="48" s="1"/>
  <c r="C15" i="45"/>
  <c r="D14" i="45"/>
  <c r="H14" i="45" s="1"/>
  <c r="D15" i="41"/>
  <c r="H15" i="41" s="1"/>
  <c r="C16" i="41"/>
  <c r="L37" i="67"/>
  <c r="D37" i="67"/>
  <c r="C38" i="67"/>
  <c r="H6" i="44" l="1"/>
  <c r="E6" i="44"/>
  <c r="D38" i="67"/>
  <c r="C39" i="67"/>
  <c r="L38" i="67"/>
  <c r="D7" i="44"/>
  <c r="H7" i="44" s="1"/>
  <c r="C8" i="44"/>
  <c r="D34" i="49"/>
  <c r="H34" i="49" s="1"/>
  <c r="C35" i="49"/>
  <c r="C19" i="82"/>
  <c r="D18" i="82"/>
  <c r="H18" i="82" s="1"/>
  <c r="H37" i="67"/>
  <c r="K37" i="67" s="1"/>
  <c r="N37" i="67"/>
  <c r="C9" i="42"/>
  <c r="D8" i="42"/>
  <c r="H8" i="42" s="1"/>
  <c r="C16" i="45"/>
  <c r="D15" i="45"/>
  <c r="H15" i="45" s="1"/>
  <c r="D14" i="49"/>
  <c r="H14" i="49" s="1"/>
  <c r="C15" i="49"/>
  <c r="D15" i="48"/>
  <c r="H15" i="48" s="1"/>
  <c r="C16" i="48"/>
  <c r="D16" i="41"/>
  <c r="H16" i="41" s="1"/>
  <c r="C17" i="41"/>
  <c r="C36" i="82"/>
  <c r="D35" i="82"/>
  <c r="H35" i="82" s="1"/>
  <c r="C37" i="82" l="1"/>
  <c r="D36" i="82"/>
  <c r="H36" i="82" s="1"/>
  <c r="C20" i="82"/>
  <c r="D19" i="82"/>
  <c r="H19" i="82" s="1"/>
  <c r="D6" i="43"/>
  <c r="C7" i="43"/>
  <c r="D17" i="41"/>
  <c r="H17" i="41" s="1"/>
  <c r="C18" i="41"/>
  <c r="D15" i="49"/>
  <c r="H15" i="49" s="1"/>
  <c r="C16" i="49"/>
  <c r="C10" i="42"/>
  <c r="D9" i="42"/>
  <c r="H9" i="42" s="1"/>
  <c r="C40" i="67"/>
  <c r="D39" i="67"/>
  <c r="L39" i="67"/>
  <c r="D16" i="45"/>
  <c r="H16" i="45" s="1"/>
  <c r="C17" i="45"/>
  <c r="C36" i="49"/>
  <c r="D35" i="49"/>
  <c r="H35" i="49" s="1"/>
  <c r="C17" i="48"/>
  <c r="D16" i="48"/>
  <c r="H16" i="48" s="1"/>
  <c r="D8" i="44"/>
  <c r="H8" i="44" s="1"/>
  <c r="C9" i="44"/>
  <c r="H38" i="67"/>
  <c r="K38" i="67" s="1"/>
  <c r="N38" i="67"/>
  <c r="I21" i="47"/>
  <c r="H6" i="43" l="1"/>
  <c r="E6" i="43"/>
  <c r="E7" i="43" s="1"/>
  <c r="E8" i="43" s="1"/>
  <c r="E9" i="43" s="1"/>
  <c r="E10" i="43" s="1"/>
  <c r="E11" i="43" s="1"/>
  <c r="E12" i="43" s="1"/>
  <c r="E13" i="43" s="1"/>
  <c r="E14" i="43" s="1"/>
  <c r="E15" i="43" s="1"/>
  <c r="E16" i="43" s="1"/>
  <c r="E17" i="43" s="1"/>
  <c r="E18" i="43" s="1"/>
  <c r="E19" i="43" s="1"/>
  <c r="E20" i="43" s="1"/>
  <c r="E21" i="43" s="1"/>
  <c r="D18" i="41"/>
  <c r="H18" i="41" s="1"/>
  <c r="C19" i="41"/>
  <c r="D9" i="44"/>
  <c r="H9" i="44" s="1"/>
  <c r="C10" i="44"/>
  <c r="D10" i="42"/>
  <c r="H10" i="42" s="1"/>
  <c r="C11" i="42"/>
  <c r="C21" i="82"/>
  <c r="D21" i="82" s="1"/>
  <c r="D20" i="82"/>
  <c r="H20" i="82" s="1"/>
  <c r="D36" i="49"/>
  <c r="H36" i="49" s="1"/>
  <c r="C37" i="49"/>
  <c r="N39" i="67"/>
  <c r="H39" i="67"/>
  <c r="K39" i="67" s="1"/>
  <c r="C17" i="49"/>
  <c r="D16" i="49"/>
  <c r="H16" i="49" s="1"/>
  <c r="C8" i="43"/>
  <c r="D7" i="43"/>
  <c r="H7" i="43" s="1"/>
  <c r="D17" i="48"/>
  <c r="H17" i="48" s="1"/>
  <c r="C18" i="48"/>
  <c r="I21" i="43"/>
  <c r="D17" i="45"/>
  <c r="H17" i="45" s="1"/>
  <c r="C18" i="45"/>
  <c r="D40" i="67"/>
  <c r="C41" i="67"/>
  <c r="L40" i="67"/>
  <c r="C38" i="82"/>
  <c r="D37" i="82"/>
  <c r="H37" i="82" s="1"/>
  <c r="M37" i="82" s="1"/>
  <c r="D6" i="47" l="1"/>
  <c r="C7" i="47"/>
  <c r="D18" i="48"/>
  <c r="H18" i="48" s="1"/>
  <c r="C19" i="48"/>
  <c r="D17" i="49"/>
  <c r="H17" i="49" s="1"/>
  <c r="C18" i="49"/>
  <c r="C12" i="42"/>
  <c r="D11" i="42"/>
  <c r="H11" i="42" s="1"/>
  <c r="D8" i="43"/>
  <c r="H8" i="43" s="1"/>
  <c r="C9" i="43"/>
  <c r="C11" i="44"/>
  <c r="D10" i="44"/>
  <c r="H10" i="44" s="1"/>
  <c r="D41" i="67"/>
  <c r="C42" i="67"/>
  <c r="L41" i="67"/>
  <c r="H40" i="67"/>
  <c r="K40" i="67" s="1"/>
  <c r="N40" i="67"/>
  <c r="C38" i="49"/>
  <c r="D37" i="49"/>
  <c r="H37" i="49" s="1"/>
  <c r="C20" i="41"/>
  <c r="D19" i="41"/>
  <c r="H19" i="41" s="1"/>
  <c r="D38" i="82"/>
  <c r="H38" i="82" s="1"/>
  <c r="M38" i="82" s="1"/>
  <c r="C39" i="82"/>
  <c r="C19" i="45"/>
  <c r="D18" i="45"/>
  <c r="H18" i="45" s="1"/>
  <c r="I21" i="65"/>
  <c r="I21" i="42"/>
  <c r="H6" i="47" l="1"/>
  <c r="E6" i="47"/>
  <c r="E7" i="47" s="1"/>
  <c r="E8" i="47" s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I21" i="46"/>
  <c r="C13" i="42"/>
  <c r="D12" i="42"/>
  <c r="H12" i="42" s="1"/>
  <c r="D20" i="41"/>
  <c r="H20" i="41" s="1"/>
  <c r="C21" i="41"/>
  <c r="D21" i="41" s="1"/>
  <c r="D39" i="82"/>
  <c r="H39" i="82" s="1"/>
  <c r="M39" i="82" s="1"/>
  <c r="R39" i="82" s="1"/>
  <c r="C40" i="82"/>
  <c r="D7" i="47"/>
  <c r="H7" i="47" s="1"/>
  <c r="C8" i="47"/>
  <c r="L42" i="67"/>
  <c r="D42" i="67"/>
  <c r="C43" i="67"/>
  <c r="C10" i="43"/>
  <c r="D9" i="43"/>
  <c r="H9" i="43" s="1"/>
  <c r="C20" i="48"/>
  <c r="D19" i="48"/>
  <c r="H19" i="48" s="1"/>
  <c r="C20" i="45"/>
  <c r="D19" i="45"/>
  <c r="H19" i="45" s="1"/>
  <c r="H41" i="67"/>
  <c r="K41" i="67" s="1"/>
  <c r="N41" i="67"/>
  <c r="C19" i="49"/>
  <c r="D18" i="49"/>
  <c r="H18" i="49" s="1"/>
  <c r="D38" i="49"/>
  <c r="H38" i="49" s="1"/>
  <c r="M38" i="49" s="1"/>
  <c r="C39" i="49"/>
  <c r="D11" i="44"/>
  <c r="H11" i="44" s="1"/>
  <c r="C12" i="44"/>
  <c r="D39" i="49" l="1"/>
  <c r="H39" i="49" s="1"/>
  <c r="M39" i="49" s="1"/>
  <c r="R39" i="49" s="1"/>
  <c r="C40" i="49"/>
  <c r="D20" i="45"/>
  <c r="H20" i="45" s="1"/>
  <c r="C21" i="45"/>
  <c r="D21" i="45" s="1"/>
  <c r="D20" i="48"/>
  <c r="H20" i="48" s="1"/>
  <c r="C21" i="48"/>
  <c r="D21" i="48" s="1"/>
  <c r="H42" i="67"/>
  <c r="K42" i="67" s="1"/>
  <c r="N42" i="67"/>
  <c r="C41" i="82"/>
  <c r="D40" i="82"/>
  <c r="H40" i="82" s="1"/>
  <c r="M40" i="82" s="1"/>
  <c r="R40" i="82" s="1"/>
  <c r="D13" i="42"/>
  <c r="H13" i="42" s="1"/>
  <c r="C14" i="42"/>
  <c r="C13" i="44"/>
  <c r="D12" i="44"/>
  <c r="H12" i="44" s="1"/>
  <c r="C11" i="43"/>
  <c r="D10" i="43"/>
  <c r="H10" i="43" s="1"/>
  <c r="D8" i="47"/>
  <c r="H8" i="47" s="1"/>
  <c r="C9" i="47"/>
  <c r="D19" i="49"/>
  <c r="H19" i="49" s="1"/>
  <c r="C20" i="49"/>
  <c r="D43" i="67"/>
  <c r="C44" i="67"/>
  <c r="L43" i="67"/>
  <c r="E7" i="42"/>
  <c r="E8" i="42" s="1"/>
  <c r="E9" i="42" s="1"/>
  <c r="E10" i="42" s="1"/>
  <c r="E11" i="42" s="1"/>
  <c r="E12" i="42" s="1"/>
  <c r="E13" i="42" s="1"/>
  <c r="E14" i="42" s="1"/>
  <c r="E15" i="42" s="1"/>
  <c r="E16" i="42" s="1"/>
  <c r="E17" i="42" s="1"/>
  <c r="E18" i="42" s="1"/>
  <c r="E19" i="42" s="1"/>
  <c r="E20" i="42" s="1"/>
  <c r="E21" i="42" s="1"/>
  <c r="D6" i="46" l="1"/>
  <c r="C7" i="46"/>
  <c r="N43" i="67"/>
  <c r="H43" i="67"/>
  <c r="K43" i="67" s="1"/>
  <c r="D9" i="47"/>
  <c r="H9" i="47" s="1"/>
  <c r="C10" i="47"/>
  <c r="C15" i="42"/>
  <c r="D14" i="42"/>
  <c r="H14" i="42" s="1"/>
  <c r="C42" i="82"/>
  <c r="D41" i="82"/>
  <c r="H41" i="82" s="1"/>
  <c r="M41" i="82" s="1"/>
  <c r="R41" i="82" s="1"/>
  <c r="C41" i="49"/>
  <c r="D40" i="49"/>
  <c r="H40" i="49" s="1"/>
  <c r="M40" i="49" s="1"/>
  <c r="R40" i="49" s="1"/>
  <c r="L44" i="67"/>
  <c r="D44" i="67"/>
  <c r="C45" i="67"/>
  <c r="D11" i="43"/>
  <c r="H11" i="43" s="1"/>
  <c r="C12" i="43"/>
  <c r="C21" i="49"/>
  <c r="D21" i="49" s="1"/>
  <c r="D20" i="49"/>
  <c r="H20" i="49" s="1"/>
  <c r="D13" i="44"/>
  <c r="H13" i="44" s="1"/>
  <c r="C14" i="44"/>
  <c r="H6" i="46" l="1"/>
  <c r="E6" i="46"/>
  <c r="H44" i="67"/>
  <c r="K44" i="67" s="1"/>
  <c r="N44" i="67"/>
  <c r="D10" i="47"/>
  <c r="H10" i="47" s="1"/>
  <c r="C11" i="47"/>
  <c r="D12" i="43"/>
  <c r="H12" i="43" s="1"/>
  <c r="C13" i="43"/>
  <c r="C43" i="82"/>
  <c r="D42" i="82"/>
  <c r="H42" i="82" s="1"/>
  <c r="M42" i="82" s="1"/>
  <c r="R42" i="82" s="1"/>
  <c r="D7" i="46"/>
  <c r="H7" i="46" s="1"/>
  <c r="C8" i="46"/>
  <c r="C15" i="44"/>
  <c r="D14" i="44"/>
  <c r="H14" i="44" s="1"/>
  <c r="D45" i="67"/>
  <c r="L45" i="67"/>
  <c r="C16" i="42"/>
  <c r="D15" i="42"/>
  <c r="H15" i="42" s="1"/>
  <c r="D41" i="49"/>
  <c r="H41" i="49" s="1"/>
  <c r="M41" i="49" s="1"/>
  <c r="R41" i="49" s="1"/>
  <c r="C42" i="49"/>
  <c r="E7" i="46" l="1"/>
  <c r="W7" i="46"/>
  <c r="N45" i="67"/>
  <c r="C44" i="82"/>
  <c r="D44" i="82" s="1"/>
  <c r="D43" i="82"/>
  <c r="H43" i="82" s="1"/>
  <c r="M43" i="82" s="1"/>
  <c r="R43" i="82" s="1"/>
  <c r="C9" i="46"/>
  <c r="D8" i="46"/>
  <c r="H8" i="46" s="1"/>
  <c r="D13" i="43"/>
  <c r="H13" i="43" s="1"/>
  <c r="C14" i="43"/>
  <c r="D11" i="47"/>
  <c r="H11" i="47" s="1"/>
  <c r="C12" i="47"/>
  <c r="D42" i="49"/>
  <c r="H42" i="49" s="1"/>
  <c r="M42" i="49" s="1"/>
  <c r="R42" i="49" s="1"/>
  <c r="C43" i="49"/>
  <c r="D16" i="42"/>
  <c r="H16" i="42" s="1"/>
  <c r="C17" i="42"/>
  <c r="D15" i="44"/>
  <c r="H15" i="44" s="1"/>
  <c r="C16" i="44"/>
  <c r="E8" i="46" l="1"/>
  <c r="W8" i="46"/>
  <c r="D12" i="47"/>
  <c r="H12" i="47" s="1"/>
  <c r="C13" i="47"/>
  <c r="C18" i="42"/>
  <c r="D17" i="42"/>
  <c r="H17" i="42" s="1"/>
  <c r="C44" i="49"/>
  <c r="D44" i="49" s="1"/>
  <c r="D43" i="49"/>
  <c r="H43" i="49" s="1"/>
  <c r="M43" i="49" s="1"/>
  <c r="R43" i="49" s="1"/>
  <c r="C10" i="46"/>
  <c r="D9" i="46"/>
  <c r="H9" i="46" s="1"/>
  <c r="C17" i="44"/>
  <c r="D16" i="44"/>
  <c r="H16" i="44" s="1"/>
  <c r="C15" i="43"/>
  <c r="D14" i="43"/>
  <c r="H14" i="43" s="1"/>
  <c r="E9" i="46" l="1"/>
  <c r="W9" i="46"/>
  <c r="D15" i="43"/>
  <c r="H15" i="43" s="1"/>
  <c r="C16" i="43"/>
  <c r="D10" i="46"/>
  <c r="H10" i="46" s="1"/>
  <c r="C11" i="46"/>
  <c r="C19" i="42"/>
  <c r="D18" i="42"/>
  <c r="H18" i="42" s="1"/>
  <c r="C18" i="44"/>
  <c r="D17" i="44"/>
  <c r="H17" i="44" s="1"/>
  <c r="C14" i="47"/>
  <c r="D13" i="47"/>
  <c r="H13" i="47" s="1"/>
  <c r="E10" i="46" l="1"/>
  <c r="W10" i="46"/>
  <c r="C7" i="76"/>
  <c r="D6" i="76"/>
  <c r="C19" i="44"/>
  <c r="D18" i="44"/>
  <c r="H18" i="44" s="1"/>
  <c r="C12" i="46"/>
  <c r="D11" i="46"/>
  <c r="H11" i="46" s="1"/>
  <c r="C53" i="82"/>
  <c r="D52" i="82"/>
  <c r="D14" i="47"/>
  <c r="H14" i="47" s="1"/>
  <c r="C15" i="47"/>
  <c r="C17" i="43"/>
  <c r="D16" i="43"/>
  <c r="H16" i="43" s="1"/>
  <c r="C7" i="68"/>
  <c r="D6" i="68"/>
  <c r="H6" i="68" s="1"/>
  <c r="D19" i="42"/>
  <c r="H19" i="42" s="1"/>
  <c r="C20" i="42"/>
  <c r="E11" i="46" l="1"/>
  <c r="W11" i="46"/>
  <c r="H6" i="76"/>
  <c r="E6" i="76"/>
  <c r="H52" i="82"/>
  <c r="E52" i="82"/>
  <c r="D6" i="70"/>
  <c r="C7" i="70"/>
  <c r="C21" i="42"/>
  <c r="D21" i="42" s="1"/>
  <c r="H21" i="42" s="1"/>
  <c r="D20" i="42"/>
  <c r="H20" i="42" s="1"/>
  <c r="D17" i="43"/>
  <c r="H17" i="43" s="1"/>
  <c r="C18" i="43"/>
  <c r="D19" i="44"/>
  <c r="H19" i="44" s="1"/>
  <c r="C20" i="44"/>
  <c r="C16" i="47"/>
  <c r="D15" i="47"/>
  <c r="H15" i="47" s="1"/>
  <c r="D7" i="68"/>
  <c r="H7" i="68" s="1"/>
  <c r="C8" i="68"/>
  <c r="D53" i="82"/>
  <c r="H53" i="82" s="1"/>
  <c r="C54" i="82"/>
  <c r="C13" i="46"/>
  <c r="D12" i="46"/>
  <c r="H12" i="46" s="1"/>
  <c r="C8" i="76"/>
  <c r="D7" i="76"/>
  <c r="H7" i="76" s="1"/>
  <c r="E12" i="46" l="1"/>
  <c r="W12" i="46"/>
  <c r="H6" i="70"/>
  <c r="E6" i="70"/>
  <c r="C17" i="47"/>
  <c r="D16" i="47"/>
  <c r="H16" i="47" s="1"/>
  <c r="D7" i="70"/>
  <c r="H7" i="70" s="1"/>
  <c r="C8" i="70"/>
  <c r="C14" i="46"/>
  <c r="D13" i="46"/>
  <c r="H13" i="46" s="1"/>
  <c r="I21" i="67"/>
  <c r="H21" i="67"/>
  <c r="D18" i="43"/>
  <c r="H18" i="43" s="1"/>
  <c r="C19" i="43"/>
  <c r="D8" i="76"/>
  <c r="H8" i="76" s="1"/>
  <c r="C9" i="76"/>
  <c r="D54" i="82"/>
  <c r="H54" i="82" s="1"/>
  <c r="C55" i="82"/>
  <c r="D8" i="68"/>
  <c r="H8" i="68" s="1"/>
  <c r="C9" i="68"/>
  <c r="D20" i="44"/>
  <c r="H20" i="44" s="1"/>
  <c r="C21" i="44"/>
  <c r="D21" i="44" s="1"/>
  <c r="E13" i="46" l="1"/>
  <c r="W13" i="46"/>
  <c r="C10" i="68"/>
  <c r="D9" i="68"/>
  <c r="H9" i="68" s="1"/>
  <c r="C10" i="76"/>
  <c r="D9" i="76"/>
  <c r="H9" i="76" s="1"/>
  <c r="C15" i="46"/>
  <c r="D14" i="46"/>
  <c r="H14" i="46" s="1"/>
  <c r="D17" i="47"/>
  <c r="H17" i="47" s="1"/>
  <c r="C18" i="47"/>
  <c r="C56" i="82"/>
  <c r="D55" i="82"/>
  <c r="H55" i="82" s="1"/>
  <c r="C20" i="43"/>
  <c r="D19" i="43"/>
  <c r="H19" i="43" s="1"/>
  <c r="C9" i="70"/>
  <c r="D8" i="70"/>
  <c r="H8" i="70" s="1"/>
  <c r="I21" i="76"/>
  <c r="E7" i="67"/>
  <c r="E8" i="67" s="1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19" i="67" s="1"/>
  <c r="E20" i="67" s="1"/>
  <c r="E21" i="67" s="1"/>
  <c r="E14" i="46" l="1"/>
  <c r="W14" i="46"/>
  <c r="D9" i="70"/>
  <c r="H9" i="70" s="1"/>
  <c r="C10" i="70"/>
  <c r="D10" i="68"/>
  <c r="H10" i="68" s="1"/>
  <c r="C11" i="68"/>
  <c r="H45" i="67"/>
  <c r="K45" i="67" s="1"/>
  <c r="J45" i="67"/>
  <c r="D20" i="43"/>
  <c r="H20" i="43" s="1"/>
  <c r="C21" i="43"/>
  <c r="D21" i="43" s="1"/>
  <c r="H21" i="43" s="1"/>
  <c r="D18" i="47"/>
  <c r="H18" i="47" s="1"/>
  <c r="C19" i="47"/>
  <c r="C57" i="82"/>
  <c r="D56" i="82"/>
  <c r="H56" i="82" s="1"/>
  <c r="C16" i="46"/>
  <c r="D15" i="46"/>
  <c r="H15" i="46" s="1"/>
  <c r="D6" i="71"/>
  <c r="C7" i="71"/>
  <c r="D10" i="76"/>
  <c r="H10" i="76" s="1"/>
  <c r="C11" i="76"/>
  <c r="E15" i="46" l="1"/>
  <c r="W15" i="46"/>
  <c r="H6" i="71"/>
  <c r="E6" i="71"/>
  <c r="C58" i="82"/>
  <c r="D57" i="82"/>
  <c r="H57" i="82" s="1"/>
  <c r="D16" i="46"/>
  <c r="H16" i="46" s="1"/>
  <c r="C17" i="46"/>
  <c r="C12" i="76"/>
  <c r="D11" i="76"/>
  <c r="H11" i="76" s="1"/>
  <c r="D19" i="47"/>
  <c r="H19" i="47" s="1"/>
  <c r="C20" i="47"/>
  <c r="C11" i="70"/>
  <c r="D10" i="70"/>
  <c r="H10" i="70" s="1"/>
  <c r="D7" i="71"/>
  <c r="H7" i="71" s="1"/>
  <c r="C8" i="71"/>
  <c r="D11" i="68"/>
  <c r="H11" i="68" s="1"/>
  <c r="C12" i="68"/>
  <c r="E7" i="76"/>
  <c r="E8" i="76" s="1"/>
  <c r="E9" i="76" s="1"/>
  <c r="E10" i="76" s="1"/>
  <c r="E11" i="76" s="1"/>
  <c r="E12" i="76" s="1"/>
  <c r="E13" i="76" s="1"/>
  <c r="E14" i="76" s="1"/>
  <c r="E15" i="76" s="1"/>
  <c r="E16" i="76" s="1"/>
  <c r="E17" i="76" s="1"/>
  <c r="E18" i="76" s="1"/>
  <c r="E19" i="76" s="1"/>
  <c r="E20" i="76" s="1"/>
  <c r="E21" i="76" s="1"/>
  <c r="E16" i="46" l="1"/>
  <c r="W16" i="46"/>
  <c r="D8" i="71"/>
  <c r="H8" i="71" s="1"/>
  <c r="C9" i="71"/>
  <c r="D11" i="70"/>
  <c r="H11" i="70" s="1"/>
  <c r="C12" i="70"/>
  <c r="C13" i="76"/>
  <c r="D12" i="76"/>
  <c r="H12" i="76" s="1"/>
  <c r="C59" i="82"/>
  <c r="D58" i="82"/>
  <c r="H58" i="82" s="1"/>
  <c r="E31" i="67"/>
  <c r="M30" i="67"/>
  <c r="D12" i="68"/>
  <c r="H12" i="68" s="1"/>
  <c r="C13" i="68"/>
  <c r="D20" i="47"/>
  <c r="H20" i="47" s="1"/>
  <c r="C21" i="47"/>
  <c r="D21" i="47" s="1"/>
  <c r="H21" i="47" s="1"/>
  <c r="D17" i="46"/>
  <c r="H17" i="46" s="1"/>
  <c r="C18" i="46"/>
  <c r="E17" i="46" l="1"/>
  <c r="W17" i="46"/>
  <c r="C7" i="69"/>
  <c r="D6" i="69"/>
  <c r="E32" i="67"/>
  <c r="M31" i="67"/>
  <c r="D9" i="71"/>
  <c r="H9" i="71" s="1"/>
  <c r="C10" i="71"/>
  <c r="E7" i="44"/>
  <c r="E8" i="44" s="1"/>
  <c r="E9" i="44" s="1"/>
  <c r="E10" i="44" s="1"/>
  <c r="E11" i="44" s="1"/>
  <c r="E12" i="44" s="1"/>
  <c r="E13" i="44" s="1"/>
  <c r="E14" i="44" s="1"/>
  <c r="E15" i="44" s="1"/>
  <c r="E16" i="44" s="1"/>
  <c r="E17" i="44" s="1"/>
  <c r="E18" i="44" s="1"/>
  <c r="E19" i="44" s="1"/>
  <c r="E20" i="44" s="1"/>
  <c r="E21" i="44" s="1"/>
  <c r="D18" i="46"/>
  <c r="H18" i="46" s="1"/>
  <c r="C19" i="46"/>
  <c r="D13" i="68"/>
  <c r="H13" i="68" s="1"/>
  <c r="C14" i="68"/>
  <c r="D13" i="76"/>
  <c r="H13" i="76" s="1"/>
  <c r="C14" i="76"/>
  <c r="C60" i="82"/>
  <c r="D59" i="82"/>
  <c r="H59" i="82" s="1"/>
  <c r="I21" i="44"/>
  <c r="H21" i="44"/>
  <c r="D12" i="70"/>
  <c r="H12" i="70" s="1"/>
  <c r="C13" i="70"/>
  <c r="E18" i="46" l="1"/>
  <c r="W18" i="46"/>
  <c r="H6" i="69"/>
  <c r="E6" i="69"/>
  <c r="D10" i="71"/>
  <c r="H10" i="71" s="1"/>
  <c r="C11" i="71"/>
  <c r="C61" i="82"/>
  <c r="D60" i="82"/>
  <c r="H60" i="82" s="1"/>
  <c r="C14" i="70"/>
  <c r="D13" i="70"/>
  <c r="H13" i="70" s="1"/>
  <c r="I21" i="48"/>
  <c r="H21" i="48"/>
  <c r="C15" i="76"/>
  <c r="D14" i="76"/>
  <c r="H14" i="76" s="1"/>
  <c r="C20" i="46"/>
  <c r="D19" i="46"/>
  <c r="H19" i="46" s="1"/>
  <c r="D14" i="68"/>
  <c r="H14" i="68" s="1"/>
  <c r="C15" i="68"/>
  <c r="E33" i="67"/>
  <c r="M32" i="67"/>
  <c r="D7" i="69"/>
  <c r="H7" i="69" s="1"/>
  <c r="C8" i="69"/>
  <c r="E19" i="46" l="1"/>
  <c r="W19" i="46"/>
  <c r="D61" i="82"/>
  <c r="H61" i="82" s="1"/>
  <c r="C62" i="82"/>
  <c r="C9" i="69"/>
  <c r="D8" i="69"/>
  <c r="H8" i="69" s="1"/>
  <c r="D15" i="68"/>
  <c r="H15" i="68" s="1"/>
  <c r="C16" i="68"/>
  <c r="C15" i="70"/>
  <c r="D14" i="70"/>
  <c r="H14" i="70" s="1"/>
  <c r="C21" i="46"/>
  <c r="D21" i="46" s="1"/>
  <c r="H21" i="46" s="1"/>
  <c r="D20" i="46"/>
  <c r="H20" i="46" s="1"/>
  <c r="C12" i="71"/>
  <c r="D11" i="71"/>
  <c r="H11" i="71" s="1"/>
  <c r="E34" i="67"/>
  <c r="M33" i="67"/>
  <c r="E7" i="48"/>
  <c r="E8" i="48" s="1"/>
  <c r="E9" i="48" s="1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C16" i="76"/>
  <c r="D15" i="76"/>
  <c r="H15" i="76" s="1"/>
  <c r="E20" i="46" l="1"/>
  <c r="W20" i="46"/>
  <c r="D6" i="73"/>
  <c r="C7" i="73"/>
  <c r="C17" i="76"/>
  <c r="D16" i="76"/>
  <c r="H16" i="76" s="1"/>
  <c r="D16" i="68"/>
  <c r="H16" i="68" s="1"/>
  <c r="C17" i="68"/>
  <c r="C63" i="82"/>
  <c r="D62" i="82"/>
  <c r="H62" i="82" s="1"/>
  <c r="E35" i="67"/>
  <c r="M34" i="67"/>
  <c r="C13" i="71"/>
  <c r="D12" i="71"/>
  <c r="H12" i="71" s="1"/>
  <c r="C16" i="70"/>
  <c r="D15" i="70"/>
  <c r="H15" i="70" s="1"/>
  <c r="C10" i="69"/>
  <c r="D9" i="69"/>
  <c r="H9" i="69" s="1"/>
  <c r="E21" i="46" l="1"/>
  <c r="W21" i="46"/>
  <c r="H6" i="73"/>
  <c r="E6" i="73"/>
  <c r="C18" i="68"/>
  <c r="D17" i="68"/>
  <c r="H17" i="68" s="1"/>
  <c r="D17" i="76"/>
  <c r="H17" i="76" s="1"/>
  <c r="C18" i="76"/>
  <c r="D16" i="70"/>
  <c r="H16" i="70" s="1"/>
  <c r="C17" i="70"/>
  <c r="E36" i="67"/>
  <c r="M35" i="67"/>
  <c r="C8" i="73"/>
  <c r="D7" i="73"/>
  <c r="H7" i="73" s="1"/>
  <c r="C11" i="69"/>
  <c r="D10" i="69"/>
  <c r="H10" i="69" s="1"/>
  <c r="D13" i="71"/>
  <c r="H13" i="71" s="1"/>
  <c r="M13" i="71" s="1"/>
  <c r="C14" i="71"/>
  <c r="C64" i="82"/>
  <c r="D63" i="82"/>
  <c r="H63" i="82" s="1"/>
  <c r="I21" i="45" l="1"/>
  <c r="H21" i="45"/>
  <c r="D64" i="82"/>
  <c r="H64" i="82" s="1"/>
  <c r="C65" i="82"/>
  <c r="D14" i="71"/>
  <c r="H14" i="71" s="1"/>
  <c r="M14" i="71" s="1"/>
  <c r="C15" i="71"/>
  <c r="D17" i="70"/>
  <c r="H17" i="70" s="1"/>
  <c r="C18" i="70"/>
  <c r="C19" i="76"/>
  <c r="D18" i="76"/>
  <c r="H18" i="76" s="1"/>
  <c r="D11" i="69"/>
  <c r="H11" i="69" s="1"/>
  <c r="C12" i="69"/>
  <c r="E37" i="67"/>
  <c r="M36" i="67"/>
  <c r="D8" i="73"/>
  <c r="H8" i="73" s="1"/>
  <c r="C9" i="73"/>
  <c r="D18" i="68"/>
  <c r="H18" i="68" s="1"/>
  <c r="C19" i="68"/>
  <c r="C10" i="73" l="1"/>
  <c r="D9" i="73"/>
  <c r="H9" i="73" s="1"/>
  <c r="D18" i="70"/>
  <c r="H18" i="70" s="1"/>
  <c r="C19" i="70"/>
  <c r="D65" i="82"/>
  <c r="H65" i="82" s="1"/>
  <c r="C66" i="82"/>
  <c r="D19" i="68"/>
  <c r="H19" i="68" s="1"/>
  <c r="C20" i="68"/>
  <c r="C16" i="71"/>
  <c r="D15" i="71"/>
  <c r="H15" i="71" s="1"/>
  <c r="M15" i="71" s="1"/>
  <c r="C13" i="69"/>
  <c r="D12" i="69"/>
  <c r="H12" i="69" s="1"/>
  <c r="E38" i="67"/>
  <c r="M37" i="67"/>
  <c r="C20" i="76"/>
  <c r="D19" i="76"/>
  <c r="H19" i="76" s="1"/>
  <c r="E7" i="45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39" i="67" l="1"/>
  <c r="M38" i="67"/>
  <c r="C17" i="71"/>
  <c r="D16" i="71"/>
  <c r="H16" i="71" s="1"/>
  <c r="M16" i="71" s="1"/>
  <c r="R16" i="71" s="1"/>
  <c r="C21" i="76"/>
  <c r="D21" i="76" s="1"/>
  <c r="H21" i="76" s="1"/>
  <c r="D20" i="76"/>
  <c r="H20" i="76" s="1"/>
  <c r="D13" i="69"/>
  <c r="H13" i="69" s="1"/>
  <c r="C14" i="69"/>
  <c r="D66" i="82"/>
  <c r="H66" i="82" s="1"/>
  <c r="C67" i="82"/>
  <c r="D67" i="82" s="1"/>
  <c r="C20" i="70"/>
  <c r="D19" i="70"/>
  <c r="H19" i="70" s="1"/>
  <c r="C21" i="68"/>
  <c r="D21" i="68" s="1"/>
  <c r="D20" i="68"/>
  <c r="H20" i="68" s="1"/>
  <c r="D10" i="73"/>
  <c r="H10" i="73" s="1"/>
  <c r="C11" i="73"/>
  <c r="D11" i="73" l="1"/>
  <c r="H11" i="73" s="1"/>
  <c r="C12" i="73"/>
  <c r="P12" i="73" s="1"/>
  <c r="C15" i="69"/>
  <c r="D14" i="69"/>
  <c r="H14" i="69" s="1"/>
  <c r="C18" i="71"/>
  <c r="D17" i="71"/>
  <c r="H17" i="71" s="1"/>
  <c r="M17" i="71" s="1"/>
  <c r="R17" i="71" s="1"/>
  <c r="C21" i="70"/>
  <c r="D21" i="70" s="1"/>
  <c r="D20" i="70"/>
  <c r="H20" i="70" s="1"/>
  <c r="E40" i="67"/>
  <c r="M39" i="67"/>
  <c r="P13" i="73" l="1"/>
  <c r="R12" i="73"/>
  <c r="E41" i="67"/>
  <c r="M40" i="67"/>
  <c r="D12" i="73"/>
  <c r="H12" i="73" s="1"/>
  <c r="C13" i="73"/>
  <c r="D15" i="69"/>
  <c r="H15" i="69" s="1"/>
  <c r="C16" i="69"/>
  <c r="D18" i="71"/>
  <c r="H18" i="71" s="1"/>
  <c r="M18" i="71" s="1"/>
  <c r="R18" i="71" s="1"/>
  <c r="C19" i="71"/>
  <c r="P14" i="73" l="1"/>
  <c r="R13" i="73"/>
  <c r="C17" i="69"/>
  <c r="D16" i="69"/>
  <c r="H16" i="69" s="1"/>
  <c r="E42" i="67"/>
  <c r="M41" i="67"/>
  <c r="D19" i="71"/>
  <c r="H19" i="71" s="1"/>
  <c r="M19" i="71" s="1"/>
  <c r="R19" i="71" s="1"/>
  <c r="C20" i="71"/>
  <c r="C14" i="73"/>
  <c r="D13" i="73"/>
  <c r="H13" i="73" s="1"/>
  <c r="P15" i="73" l="1"/>
  <c r="R14" i="73"/>
  <c r="D20" i="71"/>
  <c r="H20" i="71" s="1"/>
  <c r="M20" i="71" s="1"/>
  <c r="R20" i="71" s="1"/>
  <c r="C21" i="71"/>
  <c r="D21" i="71" s="1"/>
  <c r="E43" i="67"/>
  <c r="M42" i="67"/>
  <c r="D14" i="73"/>
  <c r="H14" i="73" s="1"/>
  <c r="C15" i="73"/>
  <c r="D17" i="69"/>
  <c r="H17" i="69" s="1"/>
  <c r="C18" i="69"/>
  <c r="E7" i="49"/>
  <c r="E8" i="49" s="1"/>
  <c r="E9" i="49" s="1"/>
  <c r="E10" i="49" s="1"/>
  <c r="E11" i="49" s="1"/>
  <c r="E12" i="49" s="1"/>
  <c r="E13" i="49" s="1"/>
  <c r="E14" i="49" s="1"/>
  <c r="E15" i="49" s="1"/>
  <c r="E16" i="49" s="1"/>
  <c r="E17" i="49" s="1"/>
  <c r="E18" i="49" s="1"/>
  <c r="E19" i="49" s="1"/>
  <c r="E20" i="49" s="1"/>
  <c r="E21" i="49" s="1"/>
  <c r="P16" i="73" l="1"/>
  <c r="R15" i="73"/>
  <c r="D15" i="73"/>
  <c r="H15" i="73" s="1"/>
  <c r="C16" i="73"/>
  <c r="D18" i="69"/>
  <c r="H18" i="69" s="1"/>
  <c r="C19" i="69"/>
  <c r="I21" i="49"/>
  <c r="H21" i="49"/>
  <c r="E44" i="67"/>
  <c r="M43" i="67"/>
  <c r="R16" i="73" l="1"/>
  <c r="P17" i="73"/>
  <c r="I21" i="62"/>
  <c r="I21" i="61"/>
  <c r="C17" i="73"/>
  <c r="D16" i="73"/>
  <c r="H16" i="73" s="1"/>
  <c r="E45" i="67"/>
  <c r="M45" i="67" s="1"/>
  <c r="M44" i="67"/>
  <c r="D19" i="69"/>
  <c r="H19" i="69" s="1"/>
  <c r="C20" i="69"/>
  <c r="P18" i="73" l="1"/>
  <c r="R17" i="73"/>
  <c r="C21" i="69"/>
  <c r="D21" i="69" s="1"/>
  <c r="D20" i="69"/>
  <c r="H20" i="69" s="1"/>
  <c r="I21" i="90"/>
  <c r="D17" i="73"/>
  <c r="H17" i="73" s="1"/>
  <c r="C18" i="73"/>
  <c r="Q43" i="49"/>
  <c r="Q44" i="49" s="1"/>
  <c r="P19" i="73" l="1"/>
  <c r="R18" i="73"/>
  <c r="I44" i="49"/>
  <c r="H44" i="49"/>
  <c r="M44" i="49" s="1"/>
  <c r="R44" i="49" s="1"/>
  <c r="C19" i="73"/>
  <c r="D18" i="73"/>
  <c r="H18" i="73" s="1"/>
  <c r="C7" i="90"/>
  <c r="D6" i="90"/>
  <c r="D6" i="61"/>
  <c r="C7" i="61"/>
  <c r="R19" i="73" l="1"/>
  <c r="P20" i="73"/>
  <c r="C8" i="90"/>
  <c r="D7" i="90"/>
  <c r="H7" i="90" s="1"/>
  <c r="C8" i="61"/>
  <c r="D7" i="61"/>
  <c r="H7" i="61" s="1"/>
  <c r="D19" i="73"/>
  <c r="H19" i="73" s="1"/>
  <c r="C20" i="73"/>
  <c r="H6" i="61"/>
  <c r="E6" i="61"/>
  <c r="E7" i="61" s="1"/>
  <c r="E8" i="61" s="1"/>
  <c r="E9" i="61" s="1"/>
  <c r="E10" i="61" s="1"/>
  <c r="E11" i="61" s="1"/>
  <c r="E12" i="61" s="1"/>
  <c r="E13" i="61" s="1"/>
  <c r="E14" i="61" s="1"/>
  <c r="E15" i="61" s="1"/>
  <c r="E16" i="61" s="1"/>
  <c r="E17" i="61" s="1"/>
  <c r="E18" i="61" s="1"/>
  <c r="E19" i="61" s="1"/>
  <c r="E20" i="61" s="1"/>
  <c r="E21" i="61" s="1"/>
  <c r="E6" i="90"/>
  <c r="E7" i="90" s="1"/>
  <c r="E8" i="90" s="1"/>
  <c r="E9" i="90" s="1"/>
  <c r="E10" i="90" s="1"/>
  <c r="E11" i="90" s="1"/>
  <c r="E12" i="90" s="1"/>
  <c r="E13" i="90" s="1"/>
  <c r="E14" i="90" s="1"/>
  <c r="E15" i="90" s="1"/>
  <c r="E16" i="90" s="1"/>
  <c r="E17" i="90" s="1"/>
  <c r="E18" i="90" s="1"/>
  <c r="E19" i="90" s="1"/>
  <c r="E20" i="90" s="1"/>
  <c r="E21" i="90" s="1"/>
  <c r="H6" i="90"/>
  <c r="E30" i="49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R20" i="73" l="1"/>
  <c r="P21" i="73"/>
  <c r="R21" i="73" s="1"/>
  <c r="C9" i="61"/>
  <c r="D8" i="61"/>
  <c r="H8" i="61" s="1"/>
  <c r="D20" i="73"/>
  <c r="H20" i="73" s="1"/>
  <c r="C21" i="73"/>
  <c r="D21" i="73" s="1"/>
  <c r="C9" i="90"/>
  <c r="D8" i="90"/>
  <c r="H8" i="90" s="1"/>
  <c r="C10" i="90" l="1"/>
  <c r="D9" i="90"/>
  <c r="H9" i="90" s="1"/>
  <c r="D9" i="61"/>
  <c r="H9" i="61" s="1"/>
  <c r="C10" i="61"/>
  <c r="E7" i="82"/>
  <c r="E8" i="82" s="1"/>
  <c r="E9" i="82" s="1"/>
  <c r="E10" i="82" s="1"/>
  <c r="E11" i="82" s="1"/>
  <c r="E12" i="82" s="1"/>
  <c r="E13" i="82" s="1"/>
  <c r="E14" i="82" s="1"/>
  <c r="E15" i="82" s="1"/>
  <c r="E16" i="82" s="1"/>
  <c r="E17" i="82" s="1"/>
  <c r="E18" i="82" s="1"/>
  <c r="E19" i="82" s="1"/>
  <c r="E20" i="82" s="1"/>
  <c r="E21" i="82" s="1"/>
  <c r="D10" i="61" l="1"/>
  <c r="H10" i="61" s="1"/>
  <c r="C11" i="61"/>
  <c r="D10" i="90"/>
  <c r="H10" i="90" s="1"/>
  <c r="C11" i="90"/>
  <c r="I21" i="82"/>
  <c r="H21" i="82"/>
  <c r="C12" i="90" l="1"/>
  <c r="D11" i="90"/>
  <c r="H11" i="90" s="1"/>
  <c r="C12" i="61"/>
  <c r="D11" i="61"/>
  <c r="H11" i="61" s="1"/>
  <c r="D6" i="60"/>
  <c r="C7" i="60"/>
  <c r="Q43" i="82"/>
  <c r="Q44" i="82" s="1"/>
  <c r="D6" i="63" l="1"/>
  <c r="C7" i="63"/>
  <c r="D12" i="90"/>
  <c r="H12" i="90" s="1"/>
  <c r="C13" i="90"/>
  <c r="H6" i="60"/>
  <c r="E6" i="60"/>
  <c r="E7" i="60" s="1"/>
  <c r="E8" i="60" s="1"/>
  <c r="E9" i="60" s="1"/>
  <c r="E10" i="60" s="1"/>
  <c r="E11" i="60" s="1"/>
  <c r="E12" i="60" s="1"/>
  <c r="E13" i="60" s="1"/>
  <c r="E14" i="60" s="1"/>
  <c r="E15" i="60" s="1"/>
  <c r="E16" i="60" s="1"/>
  <c r="E17" i="60" s="1"/>
  <c r="E18" i="60" s="1"/>
  <c r="E19" i="60" s="1"/>
  <c r="E20" i="60" s="1"/>
  <c r="E21" i="60" s="1"/>
  <c r="D7" i="60"/>
  <c r="H7" i="60" s="1"/>
  <c r="C8" i="60"/>
  <c r="C13" i="61"/>
  <c r="D12" i="61"/>
  <c r="H12" i="61" s="1"/>
  <c r="D13" i="61" l="1"/>
  <c r="H13" i="61" s="1"/>
  <c r="C14" i="61"/>
  <c r="D7" i="63"/>
  <c r="H7" i="63" s="1"/>
  <c r="C8" i="63"/>
  <c r="D8" i="60"/>
  <c r="H8" i="60" s="1"/>
  <c r="C9" i="60"/>
  <c r="C14" i="90"/>
  <c r="D13" i="90"/>
  <c r="H13" i="90" s="1"/>
  <c r="H6" i="63"/>
  <c r="E6" i="63"/>
  <c r="E7" i="63" s="1"/>
  <c r="E8" i="63" s="1"/>
  <c r="E9" i="63" s="1"/>
  <c r="E10" i="63" s="1"/>
  <c r="E11" i="63" s="1"/>
  <c r="E12" i="63" s="1"/>
  <c r="E13" i="63" s="1"/>
  <c r="E14" i="63" s="1"/>
  <c r="E15" i="63" s="1"/>
  <c r="E16" i="63" s="1"/>
  <c r="E17" i="63" s="1"/>
  <c r="E18" i="63" s="1"/>
  <c r="E19" i="63" s="1"/>
  <c r="E20" i="63" s="1"/>
  <c r="E21" i="63" s="1"/>
  <c r="I21" i="74"/>
  <c r="D8" i="63" l="1"/>
  <c r="H8" i="63" s="1"/>
  <c r="C9" i="63"/>
  <c r="D9" i="60"/>
  <c r="H9" i="60" s="1"/>
  <c r="C10" i="60"/>
  <c r="D14" i="61"/>
  <c r="H14" i="61" s="1"/>
  <c r="C15" i="61"/>
  <c r="C15" i="90"/>
  <c r="D14" i="90"/>
  <c r="H14" i="90" s="1"/>
  <c r="I44" i="82" l="1"/>
  <c r="H44" i="82"/>
  <c r="M44" i="82" s="1"/>
  <c r="R44" i="82" s="1"/>
  <c r="C7" i="74"/>
  <c r="D6" i="74"/>
  <c r="C7" i="64"/>
  <c r="D6" i="64"/>
  <c r="D15" i="61"/>
  <c r="H15" i="61" s="1"/>
  <c r="C16" i="61"/>
  <c r="D15" i="90"/>
  <c r="H15" i="90" s="1"/>
  <c r="C16" i="90"/>
  <c r="C10" i="63"/>
  <c r="D9" i="63"/>
  <c r="H9" i="63" s="1"/>
  <c r="C11" i="60"/>
  <c r="D10" i="60"/>
  <c r="H10" i="60" s="1"/>
  <c r="C17" i="90" l="1"/>
  <c r="D16" i="90"/>
  <c r="H16" i="90" s="1"/>
  <c r="H6" i="74"/>
  <c r="E6" i="74"/>
  <c r="E7" i="74" s="1"/>
  <c r="E8" i="74" s="1"/>
  <c r="E9" i="74" s="1"/>
  <c r="E10" i="74" s="1"/>
  <c r="E11" i="74" s="1"/>
  <c r="E12" i="74" s="1"/>
  <c r="E13" i="74" s="1"/>
  <c r="E14" i="74" s="1"/>
  <c r="E15" i="74" s="1"/>
  <c r="E16" i="74" s="1"/>
  <c r="E17" i="74" s="1"/>
  <c r="E18" i="74" s="1"/>
  <c r="E19" i="74" s="1"/>
  <c r="E20" i="74" s="1"/>
  <c r="E21" i="74" s="1"/>
  <c r="D7" i="74"/>
  <c r="H7" i="74" s="1"/>
  <c r="C8" i="74"/>
  <c r="C17" i="61"/>
  <c r="D16" i="61"/>
  <c r="H16" i="61" s="1"/>
  <c r="D7" i="64"/>
  <c r="H7" i="64" s="1"/>
  <c r="C8" i="64"/>
  <c r="C12" i="60"/>
  <c r="D11" i="60"/>
  <c r="H11" i="60" s="1"/>
  <c r="E6" i="64"/>
  <c r="E7" i="64" s="1"/>
  <c r="E8" i="64" s="1"/>
  <c r="E9" i="64" s="1"/>
  <c r="E10" i="64" s="1"/>
  <c r="E11" i="64" s="1"/>
  <c r="E12" i="64" s="1"/>
  <c r="E13" i="64" s="1"/>
  <c r="E14" i="64" s="1"/>
  <c r="E15" i="64" s="1"/>
  <c r="E16" i="64" s="1"/>
  <c r="E17" i="64" s="1"/>
  <c r="E18" i="64" s="1"/>
  <c r="E19" i="64" s="1"/>
  <c r="E20" i="64" s="1"/>
  <c r="E21" i="64" s="1"/>
  <c r="H6" i="64"/>
  <c r="D10" i="63"/>
  <c r="H10" i="63" s="1"/>
  <c r="C11" i="63"/>
  <c r="E30" i="82"/>
  <c r="E31" i="82" s="1"/>
  <c r="E32" i="82" s="1"/>
  <c r="E33" i="82" s="1"/>
  <c r="E34" i="82" s="1"/>
  <c r="E35" i="82" s="1"/>
  <c r="E36" i="82" s="1"/>
  <c r="E37" i="82" s="1"/>
  <c r="E38" i="82" s="1"/>
  <c r="E39" i="82" s="1"/>
  <c r="E40" i="82" s="1"/>
  <c r="E41" i="82" s="1"/>
  <c r="E42" i="82" s="1"/>
  <c r="E43" i="82" s="1"/>
  <c r="E44" i="82" s="1"/>
  <c r="D6" i="62" l="1"/>
  <c r="C7" i="62"/>
  <c r="C9" i="74"/>
  <c r="D8" i="74"/>
  <c r="H8" i="74" s="1"/>
  <c r="C12" i="63"/>
  <c r="D11" i="63"/>
  <c r="H11" i="63" s="1"/>
  <c r="D12" i="60"/>
  <c r="H12" i="60" s="1"/>
  <c r="C13" i="60"/>
  <c r="D17" i="61"/>
  <c r="H17" i="61" s="1"/>
  <c r="C18" i="61"/>
  <c r="D17" i="90"/>
  <c r="H17" i="90" s="1"/>
  <c r="C18" i="90"/>
  <c r="C9" i="64"/>
  <c r="D8" i="64"/>
  <c r="H8" i="64" s="1"/>
  <c r="C19" i="61" l="1"/>
  <c r="D18" i="61"/>
  <c r="H18" i="61" s="1"/>
  <c r="C10" i="74"/>
  <c r="D9" i="74"/>
  <c r="H9" i="74" s="1"/>
  <c r="D9" i="64"/>
  <c r="H9" i="64" s="1"/>
  <c r="C10" i="64"/>
  <c r="D12" i="63"/>
  <c r="H12" i="63" s="1"/>
  <c r="C13" i="63"/>
  <c r="D7" i="62"/>
  <c r="H7" i="62" s="1"/>
  <c r="C8" i="62"/>
  <c r="D18" i="90"/>
  <c r="H18" i="90" s="1"/>
  <c r="C19" i="90"/>
  <c r="C14" i="60"/>
  <c r="D13" i="60"/>
  <c r="H13" i="60" s="1"/>
  <c r="I21" i="60"/>
  <c r="E6" i="62"/>
  <c r="E7" i="62" s="1"/>
  <c r="E8" i="62" s="1"/>
  <c r="E9" i="62" s="1"/>
  <c r="E10" i="62" s="1"/>
  <c r="E11" i="62" s="1"/>
  <c r="E12" i="62" s="1"/>
  <c r="E13" i="62" s="1"/>
  <c r="E14" i="62" s="1"/>
  <c r="E15" i="62" s="1"/>
  <c r="E16" i="62" s="1"/>
  <c r="E17" i="62" s="1"/>
  <c r="E18" i="62" s="1"/>
  <c r="E19" i="62" s="1"/>
  <c r="E20" i="62" s="1"/>
  <c r="E21" i="62" s="1"/>
  <c r="H6" i="62"/>
  <c r="C20" i="90" l="1"/>
  <c r="D19" i="90"/>
  <c r="H19" i="90" s="1"/>
  <c r="D8" i="62"/>
  <c r="H8" i="62" s="1"/>
  <c r="C9" i="62"/>
  <c r="D10" i="64"/>
  <c r="H10" i="64" s="1"/>
  <c r="C11" i="64"/>
  <c r="C11" i="74"/>
  <c r="D10" i="74"/>
  <c r="H10" i="74" s="1"/>
  <c r="C14" i="63"/>
  <c r="D13" i="63"/>
  <c r="H13" i="63" s="1"/>
  <c r="C20" i="61"/>
  <c r="D19" i="61"/>
  <c r="H19" i="61" s="1"/>
  <c r="C15" i="60"/>
  <c r="D14" i="60"/>
  <c r="H14" i="60" s="1"/>
  <c r="D20" i="61" l="1"/>
  <c r="H20" i="61" s="1"/>
  <c r="C21" i="61"/>
  <c r="D21" i="61" s="1"/>
  <c r="H21" i="61" s="1"/>
  <c r="C12" i="74"/>
  <c r="D11" i="74"/>
  <c r="H11" i="74" s="1"/>
  <c r="D15" i="60"/>
  <c r="H15" i="60" s="1"/>
  <c r="C16" i="60"/>
  <c r="C15" i="63"/>
  <c r="D14" i="63"/>
  <c r="H14" i="63" s="1"/>
  <c r="C21" i="90"/>
  <c r="D21" i="90" s="1"/>
  <c r="H21" i="90" s="1"/>
  <c r="D20" i="90"/>
  <c r="H20" i="90" s="1"/>
  <c r="D9" i="62"/>
  <c r="H9" i="62" s="1"/>
  <c r="C10" i="62"/>
  <c r="C12" i="64"/>
  <c r="D11" i="64"/>
  <c r="H11" i="64" s="1"/>
  <c r="C17" i="60" l="1"/>
  <c r="D16" i="60"/>
  <c r="H16" i="60" s="1"/>
  <c r="D12" i="74"/>
  <c r="H12" i="74" s="1"/>
  <c r="C13" i="74"/>
  <c r="D10" i="62"/>
  <c r="H10" i="62" s="1"/>
  <c r="C11" i="62"/>
  <c r="D12" i="64"/>
  <c r="H12" i="64" s="1"/>
  <c r="C13" i="64"/>
  <c r="D15" i="63"/>
  <c r="H15" i="63" s="1"/>
  <c r="C16" i="63"/>
  <c r="D13" i="74" l="1"/>
  <c r="H13" i="74" s="1"/>
  <c r="C14" i="74"/>
  <c r="D11" i="62"/>
  <c r="H11" i="62" s="1"/>
  <c r="C12" i="62"/>
  <c r="C17" i="63"/>
  <c r="D16" i="63"/>
  <c r="H16" i="63" s="1"/>
  <c r="D13" i="64"/>
  <c r="H13" i="64" s="1"/>
  <c r="C14" i="64"/>
  <c r="C18" i="60"/>
  <c r="D17" i="60"/>
  <c r="H17" i="60" s="1"/>
  <c r="C19" i="60" l="1"/>
  <c r="D18" i="60"/>
  <c r="H18" i="60" s="1"/>
  <c r="C18" i="63"/>
  <c r="D17" i="63"/>
  <c r="H17" i="63" s="1"/>
  <c r="D14" i="64"/>
  <c r="H14" i="64" s="1"/>
  <c r="C15" i="64"/>
  <c r="D14" i="74"/>
  <c r="H14" i="74" s="1"/>
  <c r="C15" i="74"/>
  <c r="D12" i="62"/>
  <c r="H12" i="62" s="1"/>
  <c r="C13" i="62"/>
  <c r="C16" i="64" l="1"/>
  <c r="D15" i="64"/>
  <c r="H15" i="64" s="1"/>
  <c r="C19" i="63"/>
  <c r="D18" i="63"/>
  <c r="H18" i="63" s="1"/>
  <c r="D13" i="62"/>
  <c r="H13" i="62" s="1"/>
  <c r="C14" i="62"/>
  <c r="C16" i="74"/>
  <c r="D15" i="74"/>
  <c r="H15" i="74" s="1"/>
  <c r="D19" i="60"/>
  <c r="H19" i="60" s="1"/>
  <c r="C20" i="60"/>
  <c r="D16" i="74" l="1"/>
  <c r="H16" i="74" s="1"/>
  <c r="C17" i="74"/>
  <c r="D19" i="63"/>
  <c r="H19" i="63" s="1"/>
  <c r="C20" i="63"/>
  <c r="C21" i="60"/>
  <c r="D21" i="60" s="1"/>
  <c r="H21" i="60" s="1"/>
  <c r="D20" i="60"/>
  <c r="H20" i="60" s="1"/>
  <c r="C15" i="62"/>
  <c r="D14" i="62"/>
  <c r="H14" i="62" s="1"/>
  <c r="I21" i="64"/>
  <c r="C17" i="64"/>
  <c r="D16" i="64"/>
  <c r="H16" i="64" s="1"/>
  <c r="C21" i="63" l="1"/>
  <c r="D21" i="63" s="1"/>
  <c r="D20" i="63"/>
  <c r="H20" i="63" s="1"/>
  <c r="D15" i="62"/>
  <c r="H15" i="62" s="1"/>
  <c r="C16" i="62"/>
  <c r="C18" i="64"/>
  <c r="D17" i="64"/>
  <c r="H17" i="64" s="1"/>
  <c r="C18" i="74"/>
  <c r="D17" i="74"/>
  <c r="H17" i="74" s="1"/>
  <c r="D18" i="74" l="1"/>
  <c r="H18" i="74" s="1"/>
  <c r="C19" i="74"/>
  <c r="D16" i="62"/>
  <c r="H16" i="62" s="1"/>
  <c r="C17" i="62"/>
  <c r="D18" i="64"/>
  <c r="H18" i="64" s="1"/>
  <c r="C19" i="64"/>
  <c r="D19" i="64" l="1"/>
  <c r="H19" i="64" s="1"/>
  <c r="C20" i="64"/>
  <c r="D17" i="62"/>
  <c r="H17" i="62" s="1"/>
  <c r="C18" i="62"/>
  <c r="D19" i="74"/>
  <c r="H19" i="74" s="1"/>
  <c r="C20" i="74"/>
  <c r="D20" i="74" l="1"/>
  <c r="H20" i="74" s="1"/>
  <c r="C21" i="74"/>
  <c r="D21" i="74" s="1"/>
  <c r="H21" i="74" s="1"/>
  <c r="D20" i="64"/>
  <c r="H20" i="64" s="1"/>
  <c r="C21" i="64"/>
  <c r="D21" i="64" s="1"/>
  <c r="H21" i="64" s="1"/>
  <c r="D18" i="62"/>
  <c r="H18" i="62" s="1"/>
  <c r="C19" i="62"/>
  <c r="D19" i="62" l="1"/>
  <c r="H19" i="62" s="1"/>
  <c r="C20" i="62"/>
  <c r="I67" i="82" l="1"/>
  <c r="H67" i="82"/>
  <c r="C21" i="62"/>
  <c r="D21" i="62" s="1"/>
  <c r="H21" i="62" s="1"/>
  <c r="D20" i="62"/>
  <c r="H20" i="62" s="1"/>
  <c r="I21" i="63" l="1"/>
  <c r="H21" i="63"/>
  <c r="E53" i="82"/>
  <c r="E54" i="82" s="1"/>
  <c r="E55" i="82" s="1"/>
  <c r="E56" i="82" s="1"/>
  <c r="E57" i="82" s="1"/>
  <c r="E58" i="82" s="1"/>
  <c r="E59" i="82" s="1"/>
  <c r="E60" i="82" s="1"/>
  <c r="E61" i="82" s="1"/>
  <c r="E62" i="82" s="1"/>
  <c r="E63" i="82" s="1"/>
  <c r="E64" i="82" s="1"/>
  <c r="E65" i="82" s="1"/>
  <c r="E66" i="82" s="1"/>
  <c r="E67" i="82" s="1"/>
  <c r="I21" i="68" l="1"/>
  <c r="H21" i="68"/>
  <c r="E7" i="68"/>
  <c r="E8" i="68" s="1"/>
  <c r="E9" i="68" s="1"/>
  <c r="E10" i="68" s="1"/>
  <c r="E11" i="68" s="1"/>
  <c r="E12" i="68" s="1"/>
  <c r="E13" i="68" s="1"/>
  <c r="E14" i="68" s="1"/>
  <c r="E15" i="68" s="1"/>
  <c r="E16" i="68" s="1"/>
  <c r="E17" i="68" s="1"/>
  <c r="E18" i="68" s="1"/>
  <c r="E19" i="68" s="1"/>
  <c r="E20" i="68" s="1"/>
  <c r="E21" i="68" s="1"/>
  <c r="I21" i="27" l="1"/>
  <c r="I21" i="56" l="1"/>
  <c r="C7" i="56" l="1"/>
  <c r="D6" i="56"/>
  <c r="C7" i="57"/>
  <c r="D6" i="57"/>
  <c r="D6" i="54"/>
  <c r="C7" i="54"/>
  <c r="I21" i="57"/>
  <c r="H6" i="54" l="1"/>
  <c r="E6" i="54"/>
  <c r="E7" i="54" s="1"/>
  <c r="E8" i="54" s="1"/>
  <c r="E9" i="54" s="1"/>
  <c r="E10" i="54" s="1"/>
  <c r="E11" i="54" s="1"/>
  <c r="E12" i="54" s="1"/>
  <c r="E13" i="54" s="1"/>
  <c r="E14" i="54" s="1"/>
  <c r="E15" i="54" s="1"/>
  <c r="E16" i="54" s="1"/>
  <c r="E17" i="54" s="1"/>
  <c r="E18" i="54" s="1"/>
  <c r="E19" i="54" s="1"/>
  <c r="E20" i="54" s="1"/>
  <c r="E21" i="54" s="1"/>
  <c r="E6" i="57"/>
  <c r="E7" i="57" s="1"/>
  <c r="E8" i="57" s="1"/>
  <c r="E9" i="57" s="1"/>
  <c r="E10" i="57" s="1"/>
  <c r="E11" i="57" s="1"/>
  <c r="E12" i="57" s="1"/>
  <c r="E13" i="57" s="1"/>
  <c r="E14" i="57" s="1"/>
  <c r="E15" i="57" s="1"/>
  <c r="E16" i="57" s="1"/>
  <c r="E17" i="57" s="1"/>
  <c r="E18" i="57" s="1"/>
  <c r="E19" i="57" s="1"/>
  <c r="E20" i="57" s="1"/>
  <c r="E21" i="57" s="1"/>
  <c r="H6" i="57"/>
  <c r="D7" i="57"/>
  <c r="H7" i="57" s="1"/>
  <c r="C8" i="57"/>
  <c r="D7" i="56"/>
  <c r="H7" i="56" s="1"/>
  <c r="C8" i="56"/>
  <c r="D6" i="53"/>
  <c r="C7" i="53"/>
  <c r="H6" i="56"/>
  <c r="E6" i="56"/>
  <c r="E7" i="56" s="1"/>
  <c r="E8" i="56" s="1"/>
  <c r="E9" i="56" s="1"/>
  <c r="E10" i="56" s="1"/>
  <c r="E11" i="56" s="1"/>
  <c r="E12" i="56" s="1"/>
  <c r="E13" i="56" s="1"/>
  <c r="E14" i="56" s="1"/>
  <c r="E15" i="56" s="1"/>
  <c r="E16" i="56" s="1"/>
  <c r="E17" i="56" s="1"/>
  <c r="E18" i="56" s="1"/>
  <c r="E19" i="56" s="1"/>
  <c r="E20" i="56" s="1"/>
  <c r="E21" i="56" s="1"/>
  <c r="D7" i="54"/>
  <c r="H7" i="54" s="1"/>
  <c r="C8" i="54"/>
  <c r="H6" i="53" l="1"/>
  <c r="E6" i="53"/>
  <c r="E7" i="53" s="1"/>
  <c r="E8" i="53" s="1"/>
  <c r="E9" i="53" s="1"/>
  <c r="E10" i="53" s="1"/>
  <c r="E11" i="53" s="1"/>
  <c r="E12" i="53" s="1"/>
  <c r="E13" i="53" s="1"/>
  <c r="E14" i="53" s="1"/>
  <c r="E15" i="53" s="1"/>
  <c r="E16" i="53" s="1"/>
  <c r="E17" i="53" s="1"/>
  <c r="E18" i="53" s="1"/>
  <c r="E19" i="53" s="1"/>
  <c r="E20" i="53" s="1"/>
  <c r="E21" i="53" s="1"/>
  <c r="C9" i="54"/>
  <c r="D8" i="54"/>
  <c r="H8" i="54" s="1"/>
  <c r="D6" i="59"/>
  <c r="C7" i="59"/>
  <c r="D8" i="56"/>
  <c r="H8" i="56" s="1"/>
  <c r="C9" i="56"/>
  <c r="C7" i="27"/>
  <c r="D6" i="27"/>
  <c r="C8" i="53"/>
  <c r="D7" i="53"/>
  <c r="H7" i="53" s="1"/>
  <c r="D8" i="57"/>
  <c r="H8" i="57" s="1"/>
  <c r="C9" i="57"/>
  <c r="D7" i="27" l="1"/>
  <c r="H7" i="27" s="1"/>
  <c r="C8" i="27"/>
  <c r="D9" i="56"/>
  <c r="H9" i="56" s="1"/>
  <c r="C10" i="56"/>
  <c r="C10" i="54"/>
  <c r="D9" i="54"/>
  <c r="H9" i="54" s="1"/>
  <c r="C10" i="57"/>
  <c r="D9" i="57"/>
  <c r="H9" i="57" s="1"/>
  <c r="H6" i="27"/>
  <c r="E6" i="27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6" i="59"/>
  <c r="E7" i="59" s="1"/>
  <c r="E8" i="59" s="1"/>
  <c r="E9" i="59" s="1"/>
  <c r="E10" i="59" s="1"/>
  <c r="E11" i="59" s="1"/>
  <c r="E12" i="59" s="1"/>
  <c r="E13" i="59" s="1"/>
  <c r="E14" i="59" s="1"/>
  <c r="E15" i="59" s="1"/>
  <c r="E16" i="59" s="1"/>
  <c r="E17" i="59" s="1"/>
  <c r="E18" i="59" s="1"/>
  <c r="E19" i="59" s="1"/>
  <c r="E20" i="59" s="1"/>
  <c r="E21" i="59" s="1"/>
  <c r="H6" i="59"/>
  <c r="C9" i="53"/>
  <c r="D8" i="53"/>
  <c r="H8" i="53" s="1"/>
  <c r="D7" i="59"/>
  <c r="H7" i="59" s="1"/>
  <c r="C8" i="59"/>
  <c r="C9" i="59" l="1"/>
  <c r="D8" i="59"/>
  <c r="H8" i="59" s="1"/>
  <c r="D9" i="53"/>
  <c r="H9" i="53" s="1"/>
  <c r="C10" i="53"/>
  <c r="C11" i="57"/>
  <c r="D10" i="57"/>
  <c r="H10" i="57" s="1"/>
  <c r="D10" i="56"/>
  <c r="H10" i="56" s="1"/>
  <c r="C11" i="56"/>
  <c r="I21" i="69"/>
  <c r="H21" i="69"/>
  <c r="D10" i="54"/>
  <c r="H10" i="54" s="1"/>
  <c r="C11" i="54"/>
  <c r="D8" i="27"/>
  <c r="H8" i="27" s="1"/>
  <c r="C9" i="27"/>
  <c r="E7" i="69"/>
  <c r="E8" i="69" s="1"/>
  <c r="E9" i="69" s="1"/>
  <c r="E10" i="69" s="1"/>
  <c r="E11" i="69" s="1"/>
  <c r="E12" i="69" s="1"/>
  <c r="E13" i="69" s="1"/>
  <c r="E14" i="69" s="1"/>
  <c r="E15" i="69" s="1"/>
  <c r="E16" i="69" s="1"/>
  <c r="E17" i="69" s="1"/>
  <c r="E18" i="69" s="1"/>
  <c r="E19" i="69" s="1"/>
  <c r="E20" i="69" s="1"/>
  <c r="E21" i="69" s="1"/>
  <c r="C7" i="58" l="1"/>
  <c r="D6" i="58"/>
  <c r="D11" i="57"/>
  <c r="H11" i="57" s="1"/>
  <c r="C12" i="57"/>
  <c r="C10" i="59"/>
  <c r="D9" i="59"/>
  <c r="H9" i="59" s="1"/>
  <c r="D6" i="52"/>
  <c r="C7" i="52"/>
  <c r="C12" i="54"/>
  <c r="D11" i="54"/>
  <c r="H11" i="54" s="1"/>
  <c r="D9" i="27"/>
  <c r="H9" i="27" s="1"/>
  <c r="C10" i="27"/>
  <c r="D11" i="56"/>
  <c r="H11" i="56" s="1"/>
  <c r="C12" i="56"/>
  <c r="C11" i="53"/>
  <c r="D10" i="53"/>
  <c r="H10" i="53" s="1"/>
  <c r="D10" i="27" l="1"/>
  <c r="H10" i="27" s="1"/>
  <c r="C11" i="27"/>
  <c r="C12" i="53"/>
  <c r="D11" i="53"/>
  <c r="H11" i="53" s="1"/>
  <c r="H6" i="52"/>
  <c r="E6" i="52"/>
  <c r="E7" i="52" s="1"/>
  <c r="E8" i="52" s="1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C13" i="56"/>
  <c r="D12" i="56"/>
  <c r="H12" i="56" s="1"/>
  <c r="E6" i="58"/>
  <c r="E7" i="58" s="1"/>
  <c r="E8" i="58" s="1"/>
  <c r="E9" i="58" s="1"/>
  <c r="E10" i="58" s="1"/>
  <c r="E11" i="58" s="1"/>
  <c r="E12" i="58" s="1"/>
  <c r="E13" i="58" s="1"/>
  <c r="E14" i="58" s="1"/>
  <c r="E15" i="58" s="1"/>
  <c r="E16" i="58" s="1"/>
  <c r="E17" i="58" s="1"/>
  <c r="E18" i="58" s="1"/>
  <c r="E19" i="58" s="1"/>
  <c r="E20" i="58" s="1"/>
  <c r="E21" i="58" s="1"/>
  <c r="H6" i="58"/>
  <c r="D7" i="52"/>
  <c r="H7" i="52" s="1"/>
  <c r="C8" i="52"/>
  <c r="D12" i="57"/>
  <c r="H12" i="57" s="1"/>
  <c r="C13" i="57"/>
  <c r="C13" i="54"/>
  <c r="D12" i="54"/>
  <c r="H12" i="54" s="1"/>
  <c r="C11" i="59"/>
  <c r="D10" i="59"/>
  <c r="H10" i="59" s="1"/>
  <c r="D7" i="58"/>
  <c r="H7" i="58" s="1"/>
  <c r="C8" i="58"/>
  <c r="D6" i="28" l="1"/>
  <c r="E6" i="28" s="1"/>
  <c r="C7" i="28"/>
  <c r="D13" i="56"/>
  <c r="H13" i="56" s="1"/>
  <c r="C14" i="56"/>
  <c r="D12" i="53"/>
  <c r="H12" i="53" s="1"/>
  <c r="C13" i="53"/>
  <c r="C9" i="58"/>
  <c r="D8" i="58"/>
  <c r="H8" i="58" s="1"/>
  <c r="C14" i="57"/>
  <c r="D13" i="57"/>
  <c r="H13" i="57" s="1"/>
  <c r="D11" i="27"/>
  <c r="H11" i="27" s="1"/>
  <c r="C12" i="27"/>
  <c r="D6" i="50"/>
  <c r="C7" i="50"/>
  <c r="D8" i="52"/>
  <c r="H8" i="52" s="1"/>
  <c r="C9" i="52"/>
  <c r="I21" i="28"/>
  <c r="D11" i="59"/>
  <c r="H11" i="59" s="1"/>
  <c r="C12" i="59"/>
  <c r="C14" i="54"/>
  <c r="D13" i="54"/>
  <c r="H13" i="54" s="1"/>
  <c r="C15" i="54" l="1"/>
  <c r="D14" i="54"/>
  <c r="H14" i="54" s="1"/>
  <c r="C8" i="50"/>
  <c r="D7" i="50"/>
  <c r="H7" i="50" s="1"/>
  <c r="M7" i="50" s="1"/>
  <c r="H6" i="50"/>
  <c r="M6" i="50" s="1"/>
  <c r="E6" i="50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D14" i="57"/>
  <c r="H14" i="57" s="1"/>
  <c r="C15" i="57"/>
  <c r="C14" i="53"/>
  <c r="D13" i="53"/>
  <c r="H13" i="53" s="1"/>
  <c r="D7" i="28"/>
  <c r="H7" i="28" s="1"/>
  <c r="C8" i="28"/>
  <c r="C13" i="59"/>
  <c r="D12" i="59"/>
  <c r="H12" i="59" s="1"/>
  <c r="C10" i="52"/>
  <c r="D9" i="52"/>
  <c r="H9" i="52" s="1"/>
  <c r="C13" i="27"/>
  <c r="D12" i="27"/>
  <c r="H12" i="27" s="1"/>
  <c r="H6" i="28"/>
  <c r="E7" i="28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0" i="28" s="1"/>
  <c r="E21" i="28" s="1"/>
  <c r="D9" i="58"/>
  <c r="H9" i="58" s="1"/>
  <c r="C10" i="58"/>
  <c r="C15" i="56"/>
  <c r="D14" i="56"/>
  <c r="H14" i="56" s="1"/>
  <c r="C16" i="56" l="1"/>
  <c r="D15" i="56"/>
  <c r="H15" i="56" s="1"/>
  <c r="C11" i="52"/>
  <c r="D10" i="52"/>
  <c r="H10" i="52" s="1"/>
  <c r="D8" i="28"/>
  <c r="H8" i="28" s="1"/>
  <c r="C9" i="28"/>
  <c r="C16" i="57"/>
  <c r="D15" i="57"/>
  <c r="H15" i="57" s="1"/>
  <c r="D10" i="58"/>
  <c r="H10" i="58" s="1"/>
  <c r="C11" i="58"/>
  <c r="D8" i="50"/>
  <c r="H8" i="50" s="1"/>
  <c r="M8" i="50" s="1"/>
  <c r="C9" i="50"/>
  <c r="C14" i="27"/>
  <c r="D13" i="27"/>
  <c r="H13" i="27" s="1"/>
  <c r="D13" i="59"/>
  <c r="H13" i="59" s="1"/>
  <c r="C14" i="59"/>
  <c r="D14" i="53"/>
  <c r="H14" i="53" s="1"/>
  <c r="C15" i="53"/>
  <c r="D15" i="54"/>
  <c r="H15" i="54" s="1"/>
  <c r="C16" i="54"/>
  <c r="D16" i="54" l="1"/>
  <c r="H16" i="54" s="1"/>
  <c r="C17" i="54"/>
  <c r="C15" i="59"/>
  <c r="D14" i="59"/>
  <c r="H14" i="59" s="1"/>
  <c r="D16" i="57"/>
  <c r="H16" i="57" s="1"/>
  <c r="C17" i="57"/>
  <c r="C12" i="52"/>
  <c r="D11" i="52"/>
  <c r="H11" i="52" s="1"/>
  <c r="C16" i="53"/>
  <c r="D15" i="53"/>
  <c r="H15" i="53" s="1"/>
  <c r="D11" i="58"/>
  <c r="H11" i="58" s="1"/>
  <c r="C12" i="58"/>
  <c r="C10" i="28"/>
  <c r="D9" i="28"/>
  <c r="H9" i="28" s="1"/>
  <c r="D9" i="50"/>
  <c r="H9" i="50" s="1"/>
  <c r="M9" i="50" s="1"/>
  <c r="C10" i="50"/>
  <c r="D14" i="27"/>
  <c r="H14" i="27" s="1"/>
  <c r="C15" i="27"/>
  <c r="D16" i="56"/>
  <c r="H16" i="56" s="1"/>
  <c r="C17" i="56"/>
  <c r="D12" i="52" l="1"/>
  <c r="H12" i="52" s="1"/>
  <c r="C13" i="52"/>
  <c r="C18" i="57"/>
  <c r="D17" i="57"/>
  <c r="H17" i="57" s="1"/>
  <c r="C18" i="54"/>
  <c r="D17" i="54"/>
  <c r="H17" i="54" s="1"/>
  <c r="D10" i="50"/>
  <c r="H10" i="50" s="1"/>
  <c r="M10" i="50" s="1"/>
  <c r="C11" i="50"/>
  <c r="D12" i="58"/>
  <c r="H12" i="58" s="1"/>
  <c r="C13" i="58"/>
  <c r="D15" i="27"/>
  <c r="H15" i="27" s="1"/>
  <c r="C16" i="27"/>
  <c r="C16" i="59"/>
  <c r="D15" i="59"/>
  <c r="H15" i="59" s="1"/>
  <c r="C18" i="56"/>
  <c r="D17" i="56"/>
  <c r="H17" i="56" s="1"/>
  <c r="D10" i="28"/>
  <c r="H10" i="28" s="1"/>
  <c r="C11" i="28"/>
  <c r="C17" i="53"/>
  <c r="D16" i="53"/>
  <c r="H16" i="53" s="1"/>
  <c r="I21" i="58"/>
  <c r="D17" i="53" l="1"/>
  <c r="H17" i="53" s="1"/>
  <c r="C18" i="53"/>
  <c r="D18" i="56"/>
  <c r="H18" i="56" s="1"/>
  <c r="C19" i="56"/>
  <c r="D11" i="28"/>
  <c r="H11" i="28" s="1"/>
  <c r="C12" i="28"/>
  <c r="C14" i="58"/>
  <c r="D13" i="58"/>
  <c r="H13" i="58" s="1"/>
  <c r="D13" i="52"/>
  <c r="H13" i="52" s="1"/>
  <c r="C14" i="52"/>
  <c r="C17" i="59"/>
  <c r="D16" i="59"/>
  <c r="H16" i="59" s="1"/>
  <c r="D18" i="54"/>
  <c r="H18" i="54" s="1"/>
  <c r="C19" i="54"/>
  <c r="C19" i="57"/>
  <c r="D18" i="57"/>
  <c r="H18" i="57" s="1"/>
  <c r="C17" i="27"/>
  <c r="D16" i="27"/>
  <c r="H16" i="27" s="1"/>
  <c r="D11" i="50"/>
  <c r="H11" i="50" s="1"/>
  <c r="M11" i="50" s="1"/>
  <c r="C12" i="50"/>
  <c r="C18" i="27" l="1"/>
  <c r="D17" i="27"/>
  <c r="H17" i="27" s="1"/>
  <c r="C13" i="50"/>
  <c r="D12" i="50"/>
  <c r="H12" i="50" s="1"/>
  <c r="M12" i="50" s="1"/>
  <c r="C20" i="56"/>
  <c r="D19" i="56"/>
  <c r="H19" i="56" s="1"/>
  <c r="C20" i="57"/>
  <c r="D19" i="57"/>
  <c r="H19" i="57" s="1"/>
  <c r="D17" i="59"/>
  <c r="H17" i="59" s="1"/>
  <c r="C18" i="59"/>
  <c r="C15" i="58"/>
  <c r="D14" i="58"/>
  <c r="H14" i="58" s="1"/>
  <c r="D19" i="54"/>
  <c r="H19" i="54" s="1"/>
  <c r="C20" i="54"/>
  <c r="C15" i="52"/>
  <c r="D14" i="52"/>
  <c r="H14" i="52" s="1"/>
  <c r="C13" i="28"/>
  <c r="D12" i="28"/>
  <c r="H12" i="28" s="1"/>
  <c r="C19" i="53"/>
  <c r="D18" i="53"/>
  <c r="H18" i="53" s="1"/>
  <c r="C20" i="53" l="1"/>
  <c r="D19" i="53"/>
  <c r="H19" i="53" s="1"/>
  <c r="C16" i="52"/>
  <c r="D15" i="52"/>
  <c r="H15" i="52" s="1"/>
  <c r="D15" i="58"/>
  <c r="H15" i="58" s="1"/>
  <c r="C16" i="58"/>
  <c r="C21" i="57"/>
  <c r="D21" i="57" s="1"/>
  <c r="H21" i="57" s="1"/>
  <c r="D20" i="57"/>
  <c r="H20" i="57" s="1"/>
  <c r="C14" i="50"/>
  <c r="D13" i="50"/>
  <c r="H13" i="50" s="1"/>
  <c r="M13" i="50" s="1"/>
  <c r="R13" i="50" s="1"/>
  <c r="C21" i="54"/>
  <c r="D21" i="54" s="1"/>
  <c r="D20" i="54"/>
  <c r="H20" i="54" s="1"/>
  <c r="D18" i="59"/>
  <c r="H18" i="59" s="1"/>
  <c r="C19" i="59"/>
  <c r="C14" i="28"/>
  <c r="D13" i="28"/>
  <c r="H13" i="28" s="1"/>
  <c r="C21" i="56"/>
  <c r="D21" i="56" s="1"/>
  <c r="H21" i="56" s="1"/>
  <c r="D20" i="56"/>
  <c r="H20" i="56" s="1"/>
  <c r="C19" i="27"/>
  <c r="D18" i="27"/>
  <c r="H18" i="27" s="1"/>
  <c r="C15" i="50" l="1"/>
  <c r="D14" i="50"/>
  <c r="H14" i="50" s="1"/>
  <c r="M14" i="50" s="1"/>
  <c r="R14" i="50" s="1"/>
  <c r="D20" i="53"/>
  <c r="H20" i="53" s="1"/>
  <c r="C21" i="53"/>
  <c r="D21" i="53" s="1"/>
  <c r="C20" i="27"/>
  <c r="D19" i="27"/>
  <c r="H19" i="27" s="1"/>
  <c r="D14" i="28"/>
  <c r="H14" i="28" s="1"/>
  <c r="C15" i="28"/>
  <c r="C20" i="59"/>
  <c r="D19" i="59"/>
  <c r="H19" i="59" s="1"/>
  <c r="D16" i="52"/>
  <c r="H16" i="52" s="1"/>
  <c r="C17" i="52"/>
  <c r="D16" i="58"/>
  <c r="H16" i="58" s="1"/>
  <c r="C17" i="58"/>
  <c r="C18" i="52" l="1"/>
  <c r="D17" i="52"/>
  <c r="H17" i="52" s="1"/>
  <c r="C21" i="27"/>
  <c r="D21" i="27" s="1"/>
  <c r="H21" i="27" s="1"/>
  <c r="D20" i="27"/>
  <c r="H20" i="27" s="1"/>
  <c r="D15" i="50"/>
  <c r="H15" i="50" s="1"/>
  <c r="M15" i="50" s="1"/>
  <c r="R15" i="50" s="1"/>
  <c r="C16" i="50"/>
  <c r="C16" i="28"/>
  <c r="D15" i="28"/>
  <c r="H15" i="28" s="1"/>
  <c r="D17" i="58"/>
  <c r="H17" i="58" s="1"/>
  <c r="C18" i="58"/>
  <c r="C21" i="59"/>
  <c r="D21" i="59" s="1"/>
  <c r="D20" i="59"/>
  <c r="H20" i="59" s="1"/>
  <c r="C30" i="50" l="1"/>
  <c r="D29" i="50"/>
  <c r="D18" i="58"/>
  <c r="H18" i="58" s="1"/>
  <c r="C19" i="58"/>
  <c r="C19" i="52"/>
  <c r="D18" i="52"/>
  <c r="H18" i="52" s="1"/>
  <c r="I21" i="59"/>
  <c r="C17" i="28"/>
  <c r="D16" i="28"/>
  <c r="H16" i="28" s="1"/>
  <c r="C17" i="50"/>
  <c r="D16" i="50"/>
  <c r="H16" i="50" s="1"/>
  <c r="M16" i="50" s="1"/>
  <c r="R16" i="50" s="1"/>
  <c r="D19" i="52" l="1"/>
  <c r="H19" i="52" s="1"/>
  <c r="C20" i="52"/>
  <c r="D30" i="50"/>
  <c r="H30" i="50" s="1"/>
  <c r="C31" i="50"/>
  <c r="D17" i="28"/>
  <c r="H17" i="28" s="1"/>
  <c r="C18" i="28"/>
  <c r="C20" i="58"/>
  <c r="D19" i="58"/>
  <c r="H19" i="58" s="1"/>
  <c r="C18" i="50"/>
  <c r="D17" i="50"/>
  <c r="H17" i="50" s="1"/>
  <c r="M17" i="50" s="1"/>
  <c r="R17" i="50" s="1"/>
  <c r="H21" i="59"/>
  <c r="E29" i="50"/>
  <c r="E30" i="50" s="1"/>
  <c r="E31" i="50" s="1"/>
  <c r="E32" i="50" s="1"/>
  <c r="E33" i="50" s="1"/>
  <c r="E34" i="50" s="1"/>
  <c r="E35" i="50" s="1"/>
  <c r="E36" i="50" s="1"/>
  <c r="E37" i="50" s="1"/>
  <c r="E38" i="50" s="1"/>
  <c r="E39" i="50" s="1"/>
  <c r="E40" i="50" s="1"/>
  <c r="E41" i="50" s="1"/>
  <c r="E42" i="50" s="1"/>
  <c r="E43" i="50" s="1"/>
  <c r="E44" i="50" s="1"/>
  <c r="H29" i="50"/>
  <c r="D18" i="50" l="1"/>
  <c r="H18" i="50" s="1"/>
  <c r="M18" i="50" s="1"/>
  <c r="R18" i="50" s="1"/>
  <c r="C19" i="50"/>
  <c r="D31" i="50"/>
  <c r="H31" i="50" s="1"/>
  <c r="C32" i="50"/>
  <c r="C21" i="58"/>
  <c r="D21" i="58" s="1"/>
  <c r="H21" i="58" s="1"/>
  <c r="D20" i="58"/>
  <c r="H20" i="58" s="1"/>
  <c r="C19" i="28"/>
  <c r="D18" i="28"/>
  <c r="H18" i="28" s="1"/>
  <c r="D20" i="52"/>
  <c r="H20" i="52" s="1"/>
  <c r="C21" i="52"/>
  <c r="D21" i="52" s="1"/>
  <c r="C33" i="50" l="1"/>
  <c r="D32" i="50"/>
  <c r="H32" i="50" s="1"/>
  <c r="D19" i="28"/>
  <c r="H19" i="28" s="1"/>
  <c r="C20" i="28"/>
  <c r="D19" i="50"/>
  <c r="H19" i="50" s="1"/>
  <c r="M19" i="50" s="1"/>
  <c r="R19" i="50" s="1"/>
  <c r="C20" i="50"/>
  <c r="C34" i="50" l="1"/>
  <c r="D33" i="50"/>
  <c r="H33" i="50" s="1"/>
  <c r="D20" i="28"/>
  <c r="H20" i="28" s="1"/>
  <c r="C21" i="28"/>
  <c r="D21" i="28" s="1"/>
  <c r="H21" i="28" s="1"/>
  <c r="D20" i="50"/>
  <c r="H20" i="50" s="1"/>
  <c r="M20" i="50" s="1"/>
  <c r="R20" i="50" s="1"/>
  <c r="C21" i="50"/>
  <c r="D21" i="50" s="1"/>
  <c r="I21" i="37"/>
  <c r="D34" i="50" l="1"/>
  <c r="H34" i="50" s="1"/>
  <c r="C35" i="50"/>
  <c r="C7" i="37" l="1"/>
  <c r="D6" i="37"/>
  <c r="C36" i="50"/>
  <c r="D35" i="50"/>
  <c r="H35" i="50" s="1"/>
  <c r="D36" i="50" l="1"/>
  <c r="H36" i="50" s="1"/>
  <c r="C37" i="50"/>
  <c r="E6" i="37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H6" i="37"/>
  <c r="C8" i="37"/>
  <c r="D7" i="37"/>
  <c r="H7" i="37" s="1"/>
  <c r="C38" i="50" l="1"/>
  <c r="D37" i="50"/>
  <c r="H37" i="50" s="1"/>
  <c r="C9" i="37"/>
  <c r="D8" i="37"/>
  <c r="H8" i="37" s="1"/>
  <c r="C39" i="50" l="1"/>
  <c r="D38" i="50"/>
  <c r="H38" i="50" s="1"/>
  <c r="D9" i="37"/>
  <c r="H9" i="37" s="1"/>
  <c r="C10" i="37"/>
  <c r="D39" i="50" l="1"/>
  <c r="H39" i="50" s="1"/>
  <c r="C40" i="50"/>
  <c r="C11" i="37"/>
  <c r="D10" i="37"/>
  <c r="H10" i="37" s="1"/>
  <c r="C12" i="37" l="1"/>
  <c r="D11" i="37"/>
  <c r="H11" i="37" s="1"/>
  <c r="D40" i="50"/>
  <c r="H40" i="50" s="1"/>
  <c r="C41" i="50"/>
  <c r="D41" i="50" l="1"/>
  <c r="H41" i="50" s="1"/>
  <c r="C42" i="50"/>
  <c r="C13" i="37"/>
  <c r="D12" i="37"/>
  <c r="H12" i="37" s="1"/>
  <c r="D13" i="37" l="1"/>
  <c r="H13" i="37" s="1"/>
  <c r="C14" i="37"/>
  <c r="D42" i="50"/>
  <c r="H42" i="50" s="1"/>
  <c r="C43" i="50"/>
  <c r="C15" i="37" l="1"/>
  <c r="D14" i="37"/>
  <c r="H14" i="37" s="1"/>
  <c r="C44" i="50"/>
  <c r="D44" i="50" s="1"/>
  <c r="D43" i="50"/>
  <c r="H43" i="50" s="1"/>
  <c r="I21" i="40"/>
  <c r="D6" i="40" l="1"/>
  <c r="C7" i="40"/>
  <c r="D15" i="37"/>
  <c r="H15" i="37" s="1"/>
  <c r="C16" i="37"/>
  <c r="C8" i="40" l="1"/>
  <c r="D7" i="40"/>
  <c r="H7" i="40" s="1"/>
  <c r="C17" i="37"/>
  <c r="D16" i="37"/>
  <c r="H16" i="37" s="1"/>
  <c r="H6" i="40"/>
  <c r="E6" i="40"/>
  <c r="E7" i="40" s="1"/>
  <c r="E8" i="40" s="1"/>
  <c r="E9" i="40" s="1"/>
  <c r="E10" i="40" s="1"/>
  <c r="E11" i="40" s="1"/>
  <c r="E12" i="40" s="1"/>
  <c r="E13" i="40" s="1"/>
  <c r="E14" i="40" s="1"/>
  <c r="E15" i="40" s="1"/>
  <c r="E16" i="40" s="1"/>
  <c r="E17" i="40" s="1"/>
  <c r="E18" i="40" s="1"/>
  <c r="E19" i="40" s="1"/>
  <c r="E20" i="40" s="1"/>
  <c r="E21" i="40" s="1"/>
  <c r="D17" i="37" l="1"/>
  <c r="H17" i="37" s="1"/>
  <c r="C18" i="37"/>
  <c r="C9" i="40"/>
  <c r="D8" i="40"/>
  <c r="H8" i="40" s="1"/>
  <c r="C19" i="37" l="1"/>
  <c r="D18" i="37"/>
  <c r="H18" i="37" s="1"/>
  <c r="I21" i="38"/>
  <c r="D9" i="40"/>
  <c r="H9" i="40" s="1"/>
  <c r="C10" i="40"/>
  <c r="C11" i="40" l="1"/>
  <c r="D10" i="40"/>
  <c r="H10" i="40" s="1"/>
  <c r="D6" i="38"/>
  <c r="C7" i="38"/>
  <c r="C20" i="37"/>
  <c r="D19" i="37"/>
  <c r="H19" i="37" s="1"/>
  <c r="C8" i="38" l="1"/>
  <c r="D7" i="38"/>
  <c r="H7" i="38" s="1"/>
  <c r="H6" i="38"/>
  <c r="E6" i="38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D20" i="37"/>
  <c r="H20" i="37" s="1"/>
  <c r="C21" i="37"/>
  <c r="D21" i="37" s="1"/>
  <c r="H21" i="37" s="1"/>
  <c r="C12" i="40"/>
  <c r="D11" i="40"/>
  <c r="H11" i="40" s="1"/>
  <c r="C13" i="40" l="1"/>
  <c r="D12" i="40"/>
  <c r="H12" i="40" s="1"/>
  <c r="D8" i="38"/>
  <c r="H8" i="38" s="1"/>
  <c r="C9" i="38"/>
  <c r="C10" i="38" l="1"/>
  <c r="D9" i="38"/>
  <c r="H9" i="38" s="1"/>
  <c r="C7" i="39"/>
  <c r="D6" i="39"/>
  <c r="C14" i="40"/>
  <c r="D13" i="40"/>
  <c r="H13" i="40" s="1"/>
  <c r="D14" i="40" l="1"/>
  <c r="H14" i="40" s="1"/>
  <c r="C15" i="40"/>
  <c r="H6" i="39"/>
  <c r="E6" i="39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D7" i="39"/>
  <c r="H7" i="39" s="1"/>
  <c r="C8" i="39"/>
  <c r="C11" i="38"/>
  <c r="D10" i="38"/>
  <c r="H10" i="38" s="1"/>
  <c r="D11" i="38" l="1"/>
  <c r="H11" i="38" s="1"/>
  <c r="C12" i="38"/>
  <c r="D8" i="39"/>
  <c r="H8" i="39" s="1"/>
  <c r="C9" i="39"/>
  <c r="C16" i="40"/>
  <c r="D15" i="40"/>
  <c r="H15" i="40" s="1"/>
  <c r="C10" i="39" l="1"/>
  <c r="D9" i="39"/>
  <c r="H9" i="39" s="1"/>
  <c r="C13" i="38"/>
  <c r="D12" i="38"/>
  <c r="H12" i="38" s="1"/>
  <c r="C17" i="40"/>
  <c r="D16" i="40"/>
  <c r="H16" i="40" s="1"/>
  <c r="C14" i="38" l="1"/>
  <c r="D13" i="38"/>
  <c r="H13" i="38" s="1"/>
  <c r="D17" i="40"/>
  <c r="H17" i="40" s="1"/>
  <c r="C18" i="40"/>
  <c r="C11" i="39"/>
  <c r="D10" i="39"/>
  <c r="H10" i="39" s="1"/>
  <c r="C12" i="39" l="1"/>
  <c r="D11" i="39"/>
  <c r="H11" i="39" s="1"/>
  <c r="D18" i="40"/>
  <c r="H18" i="40" s="1"/>
  <c r="C19" i="40"/>
  <c r="C15" i="38"/>
  <c r="D14" i="38"/>
  <c r="H14" i="38" s="1"/>
  <c r="C16" i="38" l="1"/>
  <c r="D15" i="38"/>
  <c r="H15" i="38" s="1"/>
  <c r="C20" i="40"/>
  <c r="D19" i="40"/>
  <c r="H19" i="40" s="1"/>
  <c r="C13" i="39"/>
  <c r="D12" i="39"/>
  <c r="H12" i="39" s="1"/>
  <c r="C21" i="40" l="1"/>
  <c r="D21" i="40" s="1"/>
  <c r="H21" i="40" s="1"/>
  <c r="D20" i="40"/>
  <c r="H20" i="40" s="1"/>
  <c r="C14" i="39"/>
  <c r="D13" i="39"/>
  <c r="H13" i="39" s="1"/>
  <c r="C17" i="38"/>
  <c r="D16" i="38"/>
  <c r="H16" i="38" s="1"/>
  <c r="C15" i="39" l="1"/>
  <c r="D14" i="39"/>
  <c r="H14" i="39" s="1"/>
  <c r="C18" i="38"/>
  <c r="D17" i="38"/>
  <c r="H17" i="38" s="1"/>
  <c r="C19" i="38" l="1"/>
  <c r="D18" i="38"/>
  <c r="H18" i="38" s="1"/>
  <c r="C16" i="39"/>
  <c r="D15" i="39"/>
  <c r="H15" i="39" s="1"/>
  <c r="D6" i="35" l="1"/>
  <c r="H6" i="35" s="1"/>
  <c r="C7" i="35"/>
  <c r="C17" i="39"/>
  <c r="D16" i="39"/>
  <c r="H16" i="39" s="1"/>
  <c r="D19" i="38"/>
  <c r="H19" i="38" s="1"/>
  <c r="C20" i="38"/>
  <c r="C18" i="39" l="1"/>
  <c r="D17" i="39"/>
  <c r="H17" i="39" s="1"/>
  <c r="C21" i="38"/>
  <c r="D21" i="38" s="1"/>
  <c r="H21" i="38" s="1"/>
  <c r="D20" i="38"/>
  <c r="H20" i="38" s="1"/>
  <c r="D7" i="35"/>
  <c r="H7" i="35" s="1"/>
  <c r="C8" i="35"/>
  <c r="E6" i="35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I21" i="35"/>
  <c r="I21" i="39"/>
  <c r="C7" i="34" l="1"/>
  <c r="D6" i="34"/>
  <c r="D18" i="39"/>
  <c r="H18" i="39" s="1"/>
  <c r="C19" i="39"/>
  <c r="C9" i="35"/>
  <c r="D8" i="35"/>
  <c r="H8" i="35" s="1"/>
  <c r="D9" i="35" l="1"/>
  <c r="H9" i="35" s="1"/>
  <c r="C10" i="35"/>
  <c r="C7" i="32"/>
  <c r="D6" i="32"/>
  <c r="H6" i="34"/>
  <c r="E6" i="34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E19" i="34" s="1"/>
  <c r="E20" i="34" s="1"/>
  <c r="E21" i="34" s="1"/>
  <c r="D29" i="32"/>
  <c r="C30" i="32"/>
  <c r="D6" i="33"/>
  <c r="C7" i="33"/>
  <c r="D19" i="39"/>
  <c r="H19" i="39" s="1"/>
  <c r="C20" i="39"/>
  <c r="C8" i="34"/>
  <c r="D7" i="34"/>
  <c r="H7" i="34" s="1"/>
  <c r="C21" i="39" l="1"/>
  <c r="D21" i="39" s="1"/>
  <c r="H21" i="39" s="1"/>
  <c r="D20" i="39"/>
  <c r="H20" i="39" s="1"/>
  <c r="D30" i="32"/>
  <c r="H30" i="32" s="1"/>
  <c r="C31" i="32"/>
  <c r="E6" i="32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H6" i="32"/>
  <c r="D7" i="33"/>
  <c r="H7" i="33" s="1"/>
  <c r="C8" i="33"/>
  <c r="D10" i="35"/>
  <c r="H10" i="35" s="1"/>
  <c r="C11" i="35"/>
  <c r="H29" i="32"/>
  <c r="E29" i="32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D7" i="32"/>
  <c r="H7" i="32" s="1"/>
  <c r="C8" i="32"/>
  <c r="D8" i="34"/>
  <c r="H8" i="34" s="1"/>
  <c r="C9" i="34"/>
  <c r="E6" i="33"/>
  <c r="E7" i="33" s="1"/>
  <c r="E8" i="33" s="1"/>
  <c r="E9" i="33" s="1"/>
  <c r="E10" i="33" s="1"/>
  <c r="E11" i="33" s="1"/>
  <c r="E12" i="33" s="1"/>
  <c r="E13" i="33" s="1"/>
  <c r="E14" i="33" s="1"/>
  <c r="E15" i="33" s="1"/>
  <c r="E16" i="33" s="1"/>
  <c r="E17" i="33" s="1"/>
  <c r="E18" i="33" s="1"/>
  <c r="E19" i="33" s="1"/>
  <c r="E20" i="33" s="1"/>
  <c r="E21" i="33" s="1"/>
  <c r="H6" i="33"/>
  <c r="D8" i="33" l="1"/>
  <c r="H8" i="33" s="1"/>
  <c r="C9" i="33"/>
  <c r="C32" i="32"/>
  <c r="D31" i="32"/>
  <c r="H31" i="32" s="1"/>
  <c r="D9" i="34"/>
  <c r="H9" i="34" s="1"/>
  <c r="C10" i="34"/>
  <c r="D8" i="32"/>
  <c r="H8" i="32" s="1"/>
  <c r="C9" i="32"/>
  <c r="D11" i="35"/>
  <c r="H11" i="35" s="1"/>
  <c r="C12" i="35"/>
  <c r="C13" i="35" l="1"/>
  <c r="D12" i="35"/>
  <c r="H12" i="35" s="1"/>
  <c r="C11" i="34"/>
  <c r="D10" i="34"/>
  <c r="H10" i="34" s="1"/>
  <c r="C33" i="32"/>
  <c r="D32" i="32"/>
  <c r="H32" i="32" s="1"/>
  <c r="D9" i="33"/>
  <c r="H9" i="33" s="1"/>
  <c r="C10" i="33"/>
  <c r="D9" i="32"/>
  <c r="H9" i="32" s="1"/>
  <c r="C10" i="32"/>
  <c r="C11" i="33" l="1"/>
  <c r="D10" i="33"/>
  <c r="H10" i="33" s="1"/>
  <c r="C11" i="32"/>
  <c r="D10" i="32"/>
  <c r="H10" i="32" s="1"/>
  <c r="C34" i="32"/>
  <c r="D33" i="32"/>
  <c r="H33" i="32" s="1"/>
  <c r="D13" i="35"/>
  <c r="H13" i="35" s="1"/>
  <c r="C14" i="35"/>
  <c r="D11" i="34"/>
  <c r="H11" i="34" s="1"/>
  <c r="C12" i="34"/>
  <c r="D11" i="32" l="1"/>
  <c r="H11" i="32" s="1"/>
  <c r="C12" i="32"/>
  <c r="D34" i="32"/>
  <c r="H34" i="32" s="1"/>
  <c r="C35" i="32"/>
  <c r="C13" i="34"/>
  <c r="D12" i="34"/>
  <c r="H12" i="34" s="1"/>
  <c r="D14" i="35"/>
  <c r="H14" i="35" s="1"/>
  <c r="C15" i="35"/>
  <c r="D11" i="33"/>
  <c r="H11" i="33" s="1"/>
  <c r="C12" i="33"/>
  <c r="C36" i="32" l="1"/>
  <c r="D35" i="32"/>
  <c r="H35" i="32" s="1"/>
  <c r="C13" i="33"/>
  <c r="D12" i="33"/>
  <c r="H12" i="33" s="1"/>
  <c r="D12" i="32"/>
  <c r="H12" i="32" s="1"/>
  <c r="C13" i="32"/>
  <c r="D15" i="35"/>
  <c r="H15" i="35" s="1"/>
  <c r="C16" i="35"/>
  <c r="D13" i="34"/>
  <c r="H13" i="34" s="1"/>
  <c r="C14" i="34"/>
  <c r="I21" i="52" l="1"/>
  <c r="H21" i="52"/>
  <c r="C15" i="34"/>
  <c r="D14" i="34"/>
  <c r="H14" i="34" s="1"/>
  <c r="D13" i="32"/>
  <c r="H13" i="32" s="1"/>
  <c r="C14" i="32"/>
  <c r="C37" i="32"/>
  <c r="D36" i="32"/>
  <c r="H36" i="32" s="1"/>
  <c r="D16" i="35"/>
  <c r="H16" i="35" s="1"/>
  <c r="C17" i="35"/>
  <c r="D13" i="33"/>
  <c r="H13" i="33" s="1"/>
  <c r="C14" i="33"/>
  <c r="D14" i="33" l="1"/>
  <c r="H14" i="33" s="1"/>
  <c r="C15" i="33"/>
  <c r="D37" i="32"/>
  <c r="H37" i="32" s="1"/>
  <c r="C38" i="32"/>
  <c r="C16" i="34"/>
  <c r="D15" i="34"/>
  <c r="H15" i="34" s="1"/>
  <c r="D17" i="35"/>
  <c r="H17" i="35" s="1"/>
  <c r="C18" i="35"/>
  <c r="C15" i="32"/>
  <c r="D14" i="32"/>
  <c r="H14" i="32" s="1"/>
  <c r="D15" i="32" l="1"/>
  <c r="H15" i="32" s="1"/>
  <c r="C16" i="32"/>
  <c r="D18" i="35"/>
  <c r="H18" i="35" s="1"/>
  <c r="C19" i="35"/>
  <c r="C39" i="32"/>
  <c r="D38" i="32"/>
  <c r="H38" i="32" s="1"/>
  <c r="D15" i="33"/>
  <c r="H15" i="33" s="1"/>
  <c r="C16" i="33"/>
  <c r="I21" i="53"/>
  <c r="H21" i="53"/>
  <c r="D16" i="34"/>
  <c r="H16" i="34" s="1"/>
  <c r="C17" i="34"/>
  <c r="D17" i="34" l="1"/>
  <c r="H17" i="34" s="1"/>
  <c r="C18" i="34"/>
  <c r="D16" i="33"/>
  <c r="H16" i="33" s="1"/>
  <c r="C17" i="33"/>
  <c r="C20" i="35"/>
  <c r="D19" i="35"/>
  <c r="H19" i="35" s="1"/>
  <c r="D16" i="32"/>
  <c r="H16" i="32" s="1"/>
  <c r="C17" i="32"/>
  <c r="D39" i="32"/>
  <c r="H39" i="32" s="1"/>
  <c r="C40" i="32"/>
  <c r="C41" i="32" l="1"/>
  <c r="D40" i="32"/>
  <c r="H40" i="32" s="1"/>
  <c r="C19" i="34"/>
  <c r="D18" i="34"/>
  <c r="H18" i="34" s="1"/>
  <c r="C21" i="35"/>
  <c r="D21" i="35" s="1"/>
  <c r="H21" i="35" s="1"/>
  <c r="D20" i="35"/>
  <c r="H20" i="35" s="1"/>
  <c r="C18" i="32"/>
  <c r="D17" i="32"/>
  <c r="H17" i="32" s="1"/>
  <c r="C18" i="33"/>
  <c r="D17" i="33"/>
  <c r="H17" i="33" s="1"/>
  <c r="I21" i="54"/>
  <c r="H21" i="54"/>
  <c r="C20" i="34" l="1"/>
  <c r="D19" i="34"/>
  <c r="H19" i="34" s="1"/>
  <c r="D18" i="32"/>
  <c r="H18" i="32" s="1"/>
  <c r="C19" i="32"/>
  <c r="D18" i="33"/>
  <c r="H18" i="33" s="1"/>
  <c r="C19" i="33"/>
  <c r="D41" i="32"/>
  <c r="H41" i="32" s="1"/>
  <c r="C42" i="32"/>
  <c r="D19" i="33" l="1"/>
  <c r="H19" i="33" s="1"/>
  <c r="C20" i="33"/>
  <c r="D42" i="32"/>
  <c r="H42" i="32" s="1"/>
  <c r="C43" i="32"/>
  <c r="D19" i="32"/>
  <c r="H19" i="32" s="1"/>
  <c r="C20" i="32"/>
  <c r="D20" i="34"/>
  <c r="H20" i="34" s="1"/>
  <c r="C21" i="34"/>
  <c r="D21" i="34" s="1"/>
  <c r="C21" i="32" l="1"/>
  <c r="D21" i="32" s="1"/>
  <c r="D20" i="32"/>
  <c r="H20" i="32" s="1"/>
  <c r="C21" i="33"/>
  <c r="D21" i="33" s="1"/>
  <c r="D20" i="33"/>
  <c r="H20" i="33" s="1"/>
  <c r="D43" i="32"/>
  <c r="H43" i="32" s="1"/>
  <c r="C44" i="32"/>
  <c r="D44" i="32" s="1"/>
  <c r="H21" i="50" l="1"/>
  <c r="M21" i="50" s="1"/>
  <c r="R21" i="50" s="1"/>
  <c r="H44" i="50" l="1"/>
  <c r="Q20" i="71" l="1"/>
  <c r="Q21" i="71" s="1"/>
  <c r="I21" i="71" l="1"/>
  <c r="H21" i="71"/>
  <c r="M21" i="71" s="1"/>
  <c r="R21" i="71" s="1"/>
  <c r="E7" i="71" l="1"/>
  <c r="E8" i="71" s="1"/>
  <c r="E9" i="71" s="1"/>
  <c r="E10" i="71" s="1"/>
  <c r="E11" i="71" s="1"/>
  <c r="E12" i="71" s="1"/>
  <c r="E13" i="71" s="1"/>
  <c r="E14" i="71" s="1"/>
  <c r="E15" i="71" s="1"/>
  <c r="E16" i="71" s="1"/>
  <c r="E17" i="71" s="1"/>
  <c r="E18" i="71" s="1"/>
  <c r="E19" i="71" s="1"/>
  <c r="E20" i="71" s="1"/>
  <c r="E21" i="71" s="1"/>
  <c r="I21" i="70" l="1"/>
  <c r="H21" i="70"/>
  <c r="E7" i="70"/>
  <c r="E8" i="70" s="1"/>
  <c r="E9" i="70" s="1"/>
  <c r="E10" i="70" s="1"/>
  <c r="E11" i="70" s="1"/>
  <c r="E12" i="70" s="1"/>
  <c r="E13" i="70" s="1"/>
  <c r="E14" i="70" s="1"/>
  <c r="E15" i="70" s="1"/>
  <c r="E16" i="70" s="1"/>
  <c r="E17" i="70" s="1"/>
  <c r="E18" i="70" s="1"/>
  <c r="E19" i="70" s="1"/>
  <c r="E20" i="70" s="1"/>
  <c r="E21" i="70" s="1"/>
  <c r="G44" i="31" l="1"/>
  <c r="I21" i="31"/>
  <c r="H21" i="31"/>
  <c r="H68" i="31" l="1"/>
  <c r="H44" i="31"/>
  <c r="M44" i="31" s="1"/>
  <c r="R44" i="31" s="1"/>
  <c r="I21" i="32" l="1"/>
  <c r="H21" i="32"/>
  <c r="H44" i="32" l="1"/>
  <c r="D6" i="65" l="1"/>
  <c r="E6" i="65" s="1"/>
  <c r="C7" i="65"/>
  <c r="H6" i="65" l="1"/>
  <c r="E7" i="65"/>
  <c r="E8" i="65" s="1"/>
  <c r="E9" i="65" s="1"/>
  <c r="E10" i="65" s="1"/>
  <c r="E11" i="65" s="1"/>
  <c r="E12" i="65" s="1"/>
  <c r="E13" i="65" s="1"/>
  <c r="E14" i="65" s="1"/>
  <c r="E15" i="65" s="1"/>
  <c r="E16" i="65" s="1"/>
  <c r="E17" i="65" s="1"/>
  <c r="E18" i="65" s="1"/>
  <c r="E19" i="65" s="1"/>
  <c r="E20" i="65" s="1"/>
  <c r="E21" i="65" s="1"/>
  <c r="D7" i="65"/>
  <c r="H7" i="65" s="1"/>
  <c r="C8" i="65"/>
  <c r="D8" i="65" l="1"/>
  <c r="H8" i="65" s="1"/>
  <c r="C9" i="65"/>
  <c r="D9" i="65" l="1"/>
  <c r="H9" i="65" s="1"/>
  <c r="C10" i="65"/>
  <c r="D10" i="65" l="1"/>
  <c r="H10" i="65" s="1"/>
  <c r="C11" i="65"/>
  <c r="C7" i="79"/>
  <c r="D6" i="79"/>
  <c r="H6" i="79" l="1"/>
  <c r="E6" i="79"/>
  <c r="E7" i="79" s="1"/>
  <c r="E8" i="79" s="1"/>
  <c r="E9" i="79" s="1"/>
  <c r="E10" i="79" s="1"/>
  <c r="E11" i="79" s="1"/>
  <c r="E12" i="79" s="1"/>
  <c r="E13" i="79" s="1"/>
  <c r="E14" i="79" s="1"/>
  <c r="E15" i="79" s="1"/>
  <c r="E16" i="79" s="1"/>
  <c r="E17" i="79" s="1"/>
  <c r="E18" i="79" s="1"/>
  <c r="E19" i="79" s="1"/>
  <c r="E20" i="79" s="1"/>
  <c r="E21" i="79" s="1"/>
  <c r="C12" i="65"/>
  <c r="D11" i="65"/>
  <c r="H11" i="65" s="1"/>
  <c r="C8" i="79"/>
  <c r="D7" i="79"/>
  <c r="H7" i="79" s="1"/>
  <c r="D8" i="79" l="1"/>
  <c r="H8" i="79" s="1"/>
  <c r="C9" i="79"/>
  <c r="C13" i="65"/>
  <c r="D12" i="65"/>
  <c r="H12" i="65" s="1"/>
  <c r="D9" i="79" l="1"/>
  <c r="H9" i="79" s="1"/>
  <c r="C10" i="79"/>
  <c r="D13" i="65"/>
  <c r="H13" i="65" s="1"/>
  <c r="C14" i="65"/>
  <c r="D14" i="65" l="1"/>
  <c r="H14" i="65" s="1"/>
  <c r="C15" i="65"/>
  <c r="C11" i="79"/>
  <c r="D10" i="79"/>
  <c r="H10" i="79" s="1"/>
  <c r="C12" i="79" l="1"/>
  <c r="D11" i="79"/>
  <c r="H11" i="79" s="1"/>
  <c r="C16" i="65"/>
  <c r="D15" i="65"/>
  <c r="H15" i="65" s="1"/>
  <c r="I21" i="33" l="1"/>
  <c r="H21" i="33"/>
  <c r="C17" i="65"/>
  <c r="D16" i="65"/>
  <c r="H16" i="65" s="1"/>
  <c r="D12" i="79"/>
  <c r="H12" i="79" s="1"/>
  <c r="C13" i="79"/>
  <c r="C14" i="79" l="1"/>
  <c r="D13" i="79"/>
  <c r="H13" i="79" s="1"/>
  <c r="C18" i="65"/>
  <c r="D17" i="65"/>
  <c r="H17" i="65" s="1"/>
  <c r="D18" i="65" l="1"/>
  <c r="H18" i="65" s="1"/>
  <c r="C19" i="65"/>
  <c r="C15" i="79"/>
  <c r="D14" i="79"/>
  <c r="H14" i="79" s="1"/>
  <c r="D19" i="65" l="1"/>
  <c r="H19" i="65" s="1"/>
  <c r="C20" i="65"/>
  <c r="D15" i="79"/>
  <c r="H15" i="79" s="1"/>
  <c r="C16" i="79"/>
  <c r="C21" i="65" l="1"/>
  <c r="D21" i="65" s="1"/>
  <c r="H21" i="65" s="1"/>
  <c r="D20" i="65"/>
  <c r="H20" i="65" s="1"/>
  <c r="C17" i="79"/>
  <c r="D16" i="79"/>
  <c r="H16" i="79" s="1"/>
  <c r="C18" i="79" l="1"/>
  <c r="D17" i="79"/>
  <c r="H17" i="79" s="1"/>
  <c r="D18" i="79" l="1"/>
  <c r="H18" i="79" s="1"/>
  <c r="C19" i="79"/>
  <c r="C20" i="79" l="1"/>
  <c r="D19" i="79"/>
  <c r="H19" i="79" s="1"/>
  <c r="C21" i="79" l="1"/>
  <c r="D21" i="79" s="1"/>
  <c r="H21" i="79" s="1"/>
  <c r="D20" i="79"/>
  <c r="H20" i="79" s="1"/>
  <c r="I21" i="34" l="1"/>
  <c r="H21" i="34"/>
  <c r="E7" i="73" l="1"/>
  <c r="E8" i="73" s="1"/>
  <c r="E9" i="73" s="1"/>
  <c r="E10" i="73" s="1"/>
  <c r="E11" i="73" s="1"/>
  <c r="E12" i="73" s="1"/>
  <c r="E13" i="73" l="1"/>
  <c r="E14" i="73" s="1"/>
  <c r="E15" i="73" s="1"/>
  <c r="E16" i="73" s="1"/>
  <c r="E17" i="73" s="1"/>
  <c r="E18" i="73" s="1"/>
  <c r="E19" i="73" s="1"/>
  <c r="E20" i="73" s="1"/>
  <c r="E21" i="73" s="1"/>
  <c r="Q12" i="73"/>
  <c r="Q13" i="73" s="1"/>
  <c r="Q14" i="73" s="1"/>
  <c r="Q15" i="73" s="1"/>
  <c r="Q16" i="73" s="1"/>
  <c r="Q17" i="73" s="1"/>
  <c r="Q18" i="73" s="1"/>
  <c r="Q19" i="73" s="1"/>
  <c r="Q20" i="73" s="1"/>
  <c r="Q21" i="73" s="1"/>
  <c r="I21" i="73"/>
  <c r="H21" i="73"/>
  <c r="E7" i="41" l="1"/>
  <c r="E8" i="41" s="1"/>
  <c r="E9" i="41" s="1"/>
  <c r="E10" i="41" s="1"/>
  <c r="E11" i="41" s="1"/>
  <c r="E12" i="41" s="1"/>
  <c r="E13" i="41" s="1"/>
  <c r="E14" i="41" s="1"/>
  <c r="E15" i="41" s="1"/>
  <c r="E16" i="41" s="1"/>
  <c r="E17" i="41" s="1"/>
  <c r="E18" i="41" s="1"/>
  <c r="E19" i="41" s="1"/>
  <c r="E20" i="41" s="1"/>
  <c r="E21" i="41" s="1"/>
  <c r="I21" i="41" l="1"/>
  <c r="H21" i="41"/>
  <c r="Q38" i="29" l="1"/>
  <c r="R39" i="29" l="1"/>
  <c r="R40" i="29" s="1"/>
  <c r="P38" i="29" l="1"/>
  <c r="Q39" i="29" l="1"/>
  <c r="Q40" i="29" s="1"/>
  <c r="O38" i="29" l="1"/>
  <c r="P39" i="29" l="1"/>
  <c r="P40" i="29" s="1"/>
  <c r="N38" i="29" l="1"/>
  <c r="O39" i="29" s="1"/>
  <c r="O40" i="29" s="1"/>
  <c r="M38" i="29" l="1"/>
  <c r="L38" i="29" l="1"/>
  <c r="M39" i="29" s="1"/>
  <c r="M40" i="29" s="1"/>
  <c r="N39" i="29"/>
  <c r="N40" i="29" s="1"/>
  <c r="K38" i="29" l="1"/>
  <c r="L39" i="29" l="1"/>
  <c r="L40" i="29" s="1"/>
  <c r="J38" i="29" l="1"/>
  <c r="K39" i="29" l="1"/>
  <c r="K40" i="29" s="1"/>
  <c r="I38" i="29" l="1"/>
  <c r="G38" i="29" l="1"/>
  <c r="F38" i="29"/>
  <c r="E38" i="29"/>
  <c r="D38" i="29"/>
  <c r="H38" i="29"/>
  <c r="J39" i="29"/>
  <c r="J40" i="29" s="1"/>
  <c r="H39" i="29" l="1"/>
  <c r="H40" i="29" s="1"/>
  <c r="I39" i="29"/>
  <c r="I40" i="29" s="1"/>
  <c r="G39" i="29"/>
  <c r="G40" i="29" s="1"/>
  <c r="E39" i="29"/>
  <c r="E40" i="29" s="1"/>
  <c r="F39" i="29"/>
  <c r="F40" i="29" s="1"/>
  <c r="C38" i="29" l="1"/>
  <c r="D39" i="29" s="1"/>
  <c r="D40" i="29" s="1"/>
  <c r="Q6" i="28" l="1"/>
  <c r="S6" i="28"/>
  <c r="R6" i="28" l="1"/>
  <c r="T6" i="28" s="1"/>
  <c r="V6" i="28" s="1"/>
  <c r="Y6" i="28" s="1"/>
</calcChain>
</file>

<file path=xl/sharedStrings.xml><?xml version="1.0" encoding="utf-8"?>
<sst xmlns="http://schemas.openxmlformats.org/spreadsheetml/2006/main" count="1533" uniqueCount="216">
  <si>
    <t>Año</t>
  </si>
  <si>
    <t>Total Capacidad</t>
  </si>
  <si>
    <t>Balance Sin Proy. l/s</t>
  </si>
  <si>
    <t>Q l/s</t>
  </si>
  <si>
    <t>Veq m/s</t>
  </si>
  <si>
    <t>Deq mm</t>
  </si>
  <si>
    <t>Año 0</t>
  </si>
  <si>
    <t>L=</t>
  </si>
  <si>
    <t>(m)</t>
  </si>
  <si>
    <t>Colector Ecuador I</t>
  </si>
  <si>
    <t>Colector Ecuador II</t>
  </si>
  <si>
    <t>Colector Bueras Simpson</t>
  </si>
  <si>
    <t>Colector Simpson</t>
  </si>
  <si>
    <t>Déficit sin proyecto (l/s)</t>
  </si>
  <si>
    <t>Obra proyectada</t>
  </si>
  <si>
    <t>Capacidad (l/s)</t>
  </si>
  <si>
    <t>D nominal (mm)</t>
  </si>
  <si>
    <t>Longitud (m)</t>
  </si>
  <si>
    <t>V max (m/s)</t>
  </si>
  <si>
    <t>Balance con Proy. l/s</t>
  </si>
  <si>
    <t xml:space="preserve">Capacidad QMáx porteo (l/s) </t>
  </si>
  <si>
    <t>Demanda Qmáx  l/s</t>
  </si>
  <si>
    <t>Colector Guacamayo</t>
  </si>
  <si>
    <t>Colector Bosque Sur</t>
  </si>
  <si>
    <t>RESUMEN</t>
  </si>
  <si>
    <t>CAPACIDAD DE PORTEO</t>
  </si>
  <si>
    <t>L total</t>
  </si>
  <si>
    <t>L no cumple</t>
  </si>
  <si>
    <t>Total</t>
  </si>
  <si>
    <t>Colector Balmaceda</t>
  </si>
  <si>
    <t>Colector El Romance</t>
  </si>
  <si>
    <t>Colector Pedro Aguirre Cerda Norte</t>
  </si>
  <si>
    <t>Colector Pedro Aguirre Cerda I</t>
  </si>
  <si>
    <t>Colector España</t>
  </si>
  <si>
    <t>Colector Miraflores</t>
  </si>
  <si>
    <t>Colector CUT</t>
  </si>
  <si>
    <t>Colector San Francisco</t>
  </si>
  <si>
    <t>Colector Francia I</t>
  </si>
  <si>
    <t>Colector Francia II</t>
  </si>
  <si>
    <t>Colector San Pablo</t>
  </si>
  <si>
    <t>Colector San Luis III</t>
  </si>
  <si>
    <t>Colector Krahmer I</t>
  </si>
  <si>
    <t>Colector Baquedano</t>
  </si>
  <si>
    <t>Colector Pedro Aguirre Cerda II</t>
  </si>
  <si>
    <t>Colector Pedro Aguirre Cerda III</t>
  </si>
  <si>
    <t>Colector Pedro Aguirre Cerda IV</t>
  </si>
  <si>
    <t>Colector Montt - Baquedano</t>
  </si>
  <si>
    <t>Colector Santa María</t>
  </si>
  <si>
    <t>Colector Escobar Phillipi I</t>
  </si>
  <si>
    <t>Colector Escobar Phillipi II</t>
  </si>
  <si>
    <t>Colector Domeyko</t>
  </si>
  <si>
    <t>Colector Los Pelues II</t>
  </si>
  <si>
    <t>Colector Janequeo I</t>
  </si>
  <si>
    <t>Colector Janequeo II</t>
  </si>
  <si>
    <t>Colector Janequeo IV</t>
  </si>
  <si>
    <t>Colector Janequeo III</t>
  </si>
  <si>
    <t>Colector San Luis II</t>
  </si>
  <si>
    <t>Colector Krahmer - San Pedro</t>
  </si>
  <si>
    <t>Colector General Lagos I</t>
  </si>
  <si>
    <t>Colector General Lagos II</t>
  </si>
  <si>
    <t>Colector General Lagos IV</t>
  </si>
  <si>
    <t>Colector General Lagos III</t>
  </si>
  <si>
    <t>Colector General Lagos III. (Balance con proyecto)</t>
  </si>
  <si>
    <t>Colector San Miguel. 1er tramo.</t>
  </si>
  <si>
    <t>Colector Circunvalacion Sur</t>
  </si>
  <si>
    <t xml:space="preserve">L = </t>
  </si>
  <si>
    <t>en BI</t>
  </si>
  <si>
    <t>Colector Los Avellanos.</t>
  </si>
  <si>
    <t>Colector San Luis I.</t>
  </si>
  <si>
    <t>Colector Krahmer II.</t>
  </si>
  <si>
    <t>CONDUCCION</t>
  </si>
  <si>
    <t>Tramo 1</t>
  </si>
  <si>
    <t>Tramo 2</t>
  </si>
  <si>
    <t>Tramo 3</t>
  </si>
  <si>
    <t>Colector Balmaceda. Tramo 2. (Balance con proyecto)</t>
  </si>
  <si>
    <t>Colector Bombero Solis.</t>
  </si>
  <si>
    <t>Colector Montt-Baquedano. Tramo 2. (Balance con proyecto)</t>
  </si>
  <si>
    <t>Colector Baquedano. Tramo 1. (Balance con proyecto)</t>
  </si>
  <si>
    <t>Colector Los Pelues I</t>
  </si>
  <si>
    <t>Colector General Lagos V</t>
  </si>
  <si>
    <t>Colector General Lagos V. (Balance con proyecto)</t>
  </si>
  <si>
    <t>Colector Rubén Darío</t>
  </si>
  <si>
    <t>ENTRE CÁMARA 3273 y CÁMARA 1106</t>
  </si>
  <si>
    <t>ENTRE CÁMARA 1106 y CÁMARA 10849</t>
  </si>
  <si>
    <t>Colector Krahmer I. (Balance con proyecto)</t>
  </si>
  <si>
    <t>ENTRE CÁMARA 10849 y CÁMARA 10852</t>
  </si>
  <si>
    <t>ENTRE CÁMARA 10852 y CÁMARA 4164</t>
  </si>
  <si>
    <t>ENTRE CÁMARA 4164 y CÁMARA 2662</t>
  </si>
  <si>
    <t>Colector Krahmer II. (Balance con proyecto)</t>
  </si>
  <si>
    <t>NBI=</t>
  </si>
  <si>
    <t>Población</t>
  </si>
  <si>
    <t>HARMON</t>
  </si>
  <si>
    <t>Qmax</t>
  </si>
  <si>
    <t>Qinf eQALL</t>
  </si>
  <si>
    <t>QPEAS</t>
  </si>
  <si>
    <t>COLECTOR BOSQUE SUR</t>
  </si>
  <si>
    <t>GUACAMAYO II</t>
  </si>
  <si>
    <t>CHEQUEO</t>
  </si>
  <si>
    <t>CUADROS DE DEMANDA</t>
  </si>
  <si>
    <t>QmedioAS</t>
  </si>
  <si>
    <t>QAS</t>
  </si>
  <si>
    <t>QMAXAS</t>
  </si>
  <si>
    <t>SECTOR GRAVITACIONAL BOSQUE SUR y PEAS GUACAMAYO II (que recibe sectores GALILEA y GUACAMAYO II)</t>
  </si>
  <si>
    <t>COLECTOR CIRCUNVALACION SUR</t>
  </si>
  <si>
    <t>SECTORES GRAVITACIONALES PICARTE 3000 1 y LLANCAHUE 1</t>
  </si>
  <si>
    <t>COLECTOR ECUADOR I</t>
  </si>
  <si>
    <t>BALMACEDA</t>
  </si>
  <si>
    <t>PARTE DE SECTOR COLLICO 8 Y PEAS BALMACEDA</t>
  </si>
  <si>
    <t>COLECTOR ECUADOR II</t>
  </si>
  <si>
    <t>PARTE DE SECTOR COLLICO 8, SECTOR COLLICO I  Y PEAS BALMACEDA</t>
  </si>
  <si>
    <t>COLECTOR ESCOBAR PHILLIPI I</t>
  </si>
  <si>
    <t>PEAS BERTOLOTTO</t>
  </si>
  <si>
    <t>BERTOLOTTO</t>
  </si>
  <si>
    <t>COLECTOR ESCOBAR PHILLIPI II</t>
  </si>
  <si>
    <t>SECTOR BASRRIOS BAJOS 3A y PEAS BERTOLOTTO</t>
  </si>
  <si>
    <t>COLECTOR LOS AVELLANOS</t>
  </si>
  <si>
    <t>SECTORES ISLA TEJA 2 e ISLA TEJA 3A</t>
  </si>
  <si>
    <t>COLECTOR PEDRO AGUIRRE CERDA I</t>
  </si>
  <si>
    <t>SECTOR GRAVITACIONAL LAS ANIMAS 5A y PEAS PEDRO AGUIRRE CERDA</t>
  </si>
  <si>
    <t>PAC</t>
  </si>
  <si>
    <t>COLECTOR RUBEN DARIO</t>
  </si>
  <si>
    <t>SECTORES GRAVITACIONALES PICARTE 3000, RENE SCHNEIDER 10C y RENE SCHNEIDER 2C;  y PEAS AUSTRAL</t>
  </si>
  <si>
    <t>AUSTRAL</t>
  </si>
  <si>
    <t>COLECTOR SAN LUIS I</t>
  </si>
  <si>
    <t>SECTORES GRAVITACIONALES RENE SCHNEIDER 4B Y PEAS VALDIVIA SUR Y PEAS SAN PABLO</t>
  </si>
  <si>
    <t>VS y SP</t>
  </si>
  <si>
    <t>COLECTOR SAN LUIS II</t>
  </si>
  <si>
    <t>SECTORES GRAVITACIONALES RENE SCHNEIDER 4B, RENE SCHNEIDER 9B Y PEAS VALDIVIA SUR; PEAS SAN PABLO; PEAS MERIDIEM Y PEAS LOS CONQUISTADORES</t>
  </si>
  <si>
    <t>1/3 DE LA DEMANDA TOTAL</t>
  </si>
  <si>
    <t>2/3 DE LA DEMANDA TOTAL</t>
  </si>
  <si>
    <t>COLECTOR KRAHMER-SAN PABLO</t>
  </si>
  <si>
    <t>ESTOS SON DOS COLECTORES PARALELOS QUE SE REPARTEN LA DEMANDA DE ESTOS SECTORES</t>
  </si>
  <si>
    <t>COLECTOR SAN PABLO</t>
  </si>
  <si>
    <t>RECIBE LOS APORTE DE PEAS SAN PABLO</t>
  </si>
  <si>
    <t>SAN PABLO</t>
  </si>
  <si>
    <t>COLECTOR SAN LUIS III</t>
  </si>
  <si>
    <t>PEAS VALDIVIA SUR</t>
  </si>
  <si>
    <t>PEAS MERIDIEM</t>
  </si>
  <si>
    <t>PEAS LOS CONQUISTADORES</t>
  </si>
  <si>
    <t>PEAS AUSTRAL</t>
  </si>
  <si>
    <t>SECTORES GRAVITACIONALES</t>
  </si>
  <si>
    <t>PEAS</t>
  </si>
  <si>
    <t>René Schneider 9B</t>
  </si>
  <si>
    <t>René Schneider 4B</t>
  </si>
  <si>
    <t>Picarte 3000</t>
  </si>
  <si>
    <t>René Schneider 10C</t>
  </si>
  <si>
    <t>René Schneider 2C</t>
  </si>
  <si>
    <t>COLECTOR KRAHMER I</t>
  </si>
  <si>
    <t>Recibe colectores Francia II y Krahmer San Jorge</t>
  </si>
  <si>
    <t>COLECTOR KRAHMER II</t>
  </si>
  <si>
    <t>Colector Krahmer I más PEAS San Martin y sectores grav: Krahmer, Krahmer 6; Krahmer 7; El Bosque 1; El Bosque 2; P. Montt; P. Montt 3B y Yañez Zavala 2A</t>
  </si>
  <si>
    <t>Colector Krahmer I más PEAS San Martin y sectores grav: Krahmer, Krahmer 6; Krahmer 7</t>
  </si>
  <si>
    <t>Colector Krahmer I más PEAS San Martin</t>
  </si>
  <si>
    <t>COLECTOR SAN MIGUEL</t>
  </si>
  <si>
    <t>SECTORES GRAVITACIONAL Rene Schneider 9B y PEAS MERIDIEM y LOS CONQUISTADORES</t>
  </si>
  <si>
    <t>COLECTOR FRANCIA II</t>
  </si>
  <si>
    <t>Colector Francia I y sector grav Rene Schneider 1</t>
  </si>
  <si>
    <t>COLECTOR FRANCIA I</t>
  </si>
  <si>
    <t>Colector San Fco, Colector CUT y sector grav CORVI</t>
  </si>
  <si>
    <t>COLECTOR SIMPSON</t>
  </si>
  <si>
    <t>Sector grav Krahmer 2 y PEAS DON BOSCO Y PEAS ECUADOR</t>
  </si>
  <si>
    <t>COLECTOR BUERAS- SIMPSON</t>
  </si>
  <si>
    <t>PEAS SIMPSON y sectores grav Barrios Bajos 4B; P. Montt 4B y P. Montt 7A</t>
  </si>
  <si>
    <t>COLECTOR BOMBERO SOLIS</t>
  </si>
  <si>
    <t>PEAS BOMBERO SOLIS y sectores grav Las Animas 3B y Las Animas 7B</t>
  </si>
  <si>
    <t>COLECTOR EL ROMANCE</t>
  </si>
  <si>
    <t>PEAS BRISAS DE LA RIVERA y sector grav Las Animas 10</t>
  </si>
  <si>
    <t>PEAS BRISAS DE LA RIVERA</t>
  </si>
  <si>
    <t>COLECTOR ESPAÑA</t>
  </si>
  <si>
    <t>SECTOR GRAVITACIONAL LAS ANIMAS 8 y PEAS ESPAÑA y PEAS JARDIN DEL RIO</t>
  </si>
  <si>
    <t>RECIBE COLECTORES SAN LUIS II (Ambos) y COLECTOR RUBEN DARIO más sector grav RENE SCHNEIDER 2</t>
  </si>
  <si>
    <t>COLECTOR SAN FRANCISCO</t>
  </si>
  <si>
    <t>PEAS SAN FRANCISCO (ver balance PEAS)</t>
  </si>
  <si>
    <t>COLECTOR CUT</t>
  </si>
  <si>
    <t>PEAS CUT (ver balance PEAS)</t>
  </si>
  <si>
    <t>COLECTOR MIRAFLORES</t>
  </si>
  <si>
    <t>Colector Gral Lagos V y sector grav Barrios Bajos 2</t>
  </si>
  <si>
    <t>COLECTOR PEDRO AGUIRRE CERDA</t>
  </si>
  <si>
    <t>SECTOR GRAVITACIONAL LAS ANIMAS 4A, Colector PAC I  y PEAS NUEVA SEDEÑO</t>
  </si>
  <si>
    <t>COLECTOR PEDRO AGUIRRE CERDA III</t>
  </si>
  <si>
    <t>Colector PAC II y Colector Españav y sector grav Las Animas 4A</t>
  </si>
  <si>
    <t>Colector PAC III y sector grav Las Animas</t>
  </si>
  <si>
    <t>COLECTOR MONTT-BAQUEDANO</t>
  </si>
  <si>
    <t>PEAS Calle Calle y sector grav P.Montt 1C</t>
  </si>
  <si>
    <t>COLECTOR SANTA MARIA</t>
  </si>
  <si>
    <t>PEAS SANTA MARIA</t>
  </si>
  <si>
    <t>Colector Montt Baquedano y Colector Santa María</t>
  </si>
  <si>
    <t>COLECTOR BAQUEDANO, TRAMO 1</t>
  </si>
  <si>
    <t>COLECTOR BAQUEDANO, TRAMO 2</t>
  </si>
  <si>
    <t>Colector Montt Baquedano y Colector Santa María mas sector grav Barrios Bajso 1A</t>
  </si>
  <si>
    <t>COLECTOR DOMEYKO</t>
  </si>
  <si>
    <t>Colector Escobar Pillipi y sector grav Barrios Bajos 5</t>
  </si>
  <si>
    <t>PEAS Los Laureles y sector grav Isla Teja 1A</t>
  </si>
  <si>
    <t>COLECTOR LOS PELUES</t>
  </si>
  <si>
    <t>COLECTOR LOS PELUES II</t>
  </si>
  <si>
    <t>Colector Los Pelues I más Colector Los Avellanos</t>
  </si>
  <si>
    <t>Sector grav Centro Cívico 1A</t>
  </si>
  <si>
    <t>COLECTOR JANEQUEO I</t>
  </si>
  <si>
    <t>COLECTOR JANEQUEO II</t>
  </si>
  <si>
    <t>COLECTOR JANEQUEO III</t>
  </si>
  <si>
    <t>Colector Janequeo II y sector grav Centro Cívico 4B y PEAS Carampangue y PEAS José Marti</t>
  </si>
  <si>
    <t>PEAS Janequeo y sector grav Centro Cívico 5</t>
  </si>
  <si>
    <t>COLECTOR JANEQUEO IV</t>
  </si>
  <si>
    <t>COLECTOR GENERAL LAGOS I</t>
  </si>
  <si>
    <t>PEAS SAN CARLOS</t>
  </si>
  <si>
    <t>COLECTOR GENERAL LAGOS II</t>
  </si>
  <si>
    <t>PEAS SAN CARLOS, PEAS LOS PELUES y sector grav Barrios Bajos 8A</t>
  </si>
  <si>
    <t>COLECTOR GENERAL LAGOS III</t>
  </si>
  <si>
    <t>Colector Baquedano y sector grav Barrios Bajos 9A</t>
  </si>
  <si>
    <t>COLECTOR GENERAL LAGOS V</t>
  </si>
  <si>
    <t>Colector Gral Lagos III y Colector Domeyko</t>
  </si>
  <si>
    <t>COLECTOR GENERAL LAGOS IV</t>
  </si>
  <si>
    <t>Colector Gral Lagos IV, Colector Bueras Simpson y PEAS Bueras más sector grav Barrios Bajos 6B</t>
  </si>
  <si>
    <t>Colector Gral Lagos IV, Colector Bueras Simpson y sector grav Barrios Bajos 6B</t>
  </si>
  <si>
    <t>La columna "déficti sin proyecto" corresponde al nuevo caudal porteado por el colector, sin recibir los aportes de la PEAS Bueras</t>
  </si>
  <si>
    <t>SE EXTIENDE LA IMPULSION DE PEAS BUERAS, NO HAY OBRA NUEVA EN COLECTOR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</si>
</sst>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-;\-* #,##0.00_-;_-* &quot;-&quot;??_-;_-@_-"/>
    <numFmt numFmtId="165" formatCode="0.0"/>
    <numFmt numFmtId="166" formatCode="0.0%"/>
    <numFmt numFmtId="167" formatCode="_-[$€]\ * #,##0.00_-;\-[$€]\ * #,##0.00_-;_-[$€]\ * &quot;-&quot;??_-;_-@_-"/>
    <numFmt numFmtId="168" formatCode="#,#00"/>
    <numFmt numFmtId="169" formatCode="#.##000"/>
    <numFmt numFmtId="170" formatCode="\$#,#00"/>
    <numFmt numFmtId="171" formatCode="_-* #,##0_-;\-* #,##0_-;_-* &quot;-&quot;??_-;_-@_-"/>
    <numFmt numFmtId="172" formatCode="#,##0.0"/>
    <numFmt numFmtId="173" formatCode="0.000"/>
    <numFmt numFmtId="174" formatCode="0.0_ ;[Red]\-0.0\ 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  <font>
      <sz val="9"/>
      <name val="Arial"/>
      <family val="2"/>
    </font>
    <font>
      <sz val="10"/>
      <name val="Arial Narrow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5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1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10" fillId="2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52" borderId="17" applyNumberFormat="0" applyAlignment="0" applyProtection="0"/>
    <xf numFmtId="0" fontId="15" fillId="6" borderId="11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17" fillId="7" borderId="14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16" fillId="0" borderId="13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7" fillId="53" borderId="18" applyNumberFormat="0" applyAlignment="0" applyProtection="0"/>
    <xf numFmtId="0" fontId="29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13" fillId="5" borderId="11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167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168" fontId="29" fillId="0" borderId="0">
      <protection locked="0"/>
    </xf>
    <xf numFmtId="169" fontId="29" fillId="0" borderId="0">
      <protection locked="0"/>
    </xf>
    <xf numFmtId="0" fontId="25" fillId="36" borderId="0" applyNumberFormat="0" applyBorder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32" fillId="39" borderId="17" applyNumberFormat="0" applyAlignment="0" applyProtection="0"/>
    <xf numFmtId="0" fontId="28" fillId="0" borderId="19" applyNumberFormat="0" applyFill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29" fillId="0" borderId="0">
      <protection locked="0"/>
    </xf>
    <xf numFmtId="0" fontId="12" fillId="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22" fillId="55" borderId="23" applyNumberFormat="0" applyFont="0" applyAlignment="0" applyProtection="0"/>
    <xf numFmtId="0" fontId="39" fillId="52" borderId="2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6" borderId="12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8" fillId="0" borderId="9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9" fillId="0" borderId="10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0" fillId="0" borderId="0" applyNumberFormat="0" applyFill="0" applyBorder="0" applyAlignment="0" applyProtection="0"/>
    <xf numFmtId="164" fontId="43" fillId="0" borderId="0" applyFont="0" applyFill="0" applyBorder="0" applyAlignment="0" applyProtection="0"/>
  </cellStyleXfs>
  <cellXfs count="103">
    <xf numFmtId="0" fontId="0" fillId="0" borderId="0" xfId="0"/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2" fillId="0" borderId="0" xfId="0" applyNumberFormat="1" applyFont="1"/>
    <xf numFmtId="3" fontId="2" fillId="0" borderId="2" xfId="0" applyNumberFormat="1" applyFont="1" applyBorder="1"/>
    <xf numFmtId="3" fontId="3" fillId="0" borderId="0" xfId="0" applyNumberFormat="1" applyFont="1"/>
    <xf numFmtId="0" fontId="2" fillId="0" borderId="0" xfId="0" applyFont="1"/>
    <xf numFmtId="166" fontId="2" fillId="0" borderId="0" xfId="1" applyNumberFormat="1" applyFont="1" applyFill="1"/>
    <xf numFmtId="2" fontId="2" fillId="0" borderId="1" xfId="0" quotePrefix="1" applyNumberFormat="1" applyFont="1" applyBorder="1" applyAlignment="1">
      <alignment horizontal="center" wrapText="1"/>
    </xf>
    <xf numFmtId="0" fontId="3" fillId="33" borderId="0" xfId="0" applyFont="1" applyFill="1"/>
    <xf numFmtId="0" fontId="3" fillId="33" borderId="0" xfId="0" applyFont="1" applyFill="1" applyAlignment="1">
      <alignment horizontal="right"/>
    </xf>
    <xf numFmtId="171" fontId="3" fillId="33" borderId="0" xfId="324" applyNumberFormat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2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0" fontId="2" fillId="0" borderId="5" xfId="2" applyFont="1" applyBorder="1"/>
    <xf numFmtId="3" fontId="2" fillId="0" borderId="4" xfId="2" applyNumberFormat="1" applyFont="1" applyBorder="1"/>
    <xf numFmtId="3" fontId="2" fillId="0" borderId="1" xfId="2" applyNumberFormat="1" applyFont="1" applyBorder="1"/>
    <xf numFmtId="3" fontId="2" fillId="33" borderId="1" xfId="2" applyNumberFormat="1" applyFont="1" applyFill="1" applyBorder="1"/>
    <xf numFmtId="0" fontId="2" fillId="56" borderId="0" xfId="2" applyFont="1" applyFill="1" applyAlignment="1">
      <alignment horizontal="center"/>
    </xf>
    <xf numFmtId="3" fontId="2" fillId="0" borderId="0" xfId="2" applyNumberFormat="1" applyFont="1"/>
    <xf numFmtId="0" fontId="44" fillId="0" borderId="5" xfId="2" applyFont="1" applyBorder="1"/>
    <xf numFmtId="3" fontId="44" fillId="0" borderId="1" xfId="2" applyNumberFormat="1" applyFont="1" applyBorder="1"/>
    <xf numFmtId="3" fontId="2" fillId="0" borderId="0" xfId="2" applyNumberFormat="1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5" fillId="0" borderId="1" xfId="0" applyFont="1" applyBorder="1" applyAlignment="1">
      <alignment horizontal="center" wrapText="1"/>
    </xf>
    <xf numFmtId="3" fontId="2" fillId="57" borderId="1" xfId="2" applyNumberFormat="1" applyFont="1" applyFill="1" applyBorder="1"/>
    <xf numFmtId="0" fontId="2" fillId="57" borderId="5" xfId="2" applyFont="1" applyFill="1" applyBorder="1"/>
    <xf numFmtId="172" fontId="2" fillId="0" borderId="1" xfId="0" applyNumberFormat="1" applyFont="1" applyBorder="1" applyAlignment="1">
      <alignment horizontal="center" wrapText="1"/>
    </xf>
    <xf numFmtId="165" fontId="2" fillId="33" borderId="1" xfId="0" applyNumberFormat="1" applyFont="1" applyFill="1" applyBorder="1" applyAlignment="1">
      <alignment horizontal="center" wrapText="1"/>
    </xf>
    <xf numFmtId="3" fontId="3" fillId="33" borderId="0" xfId="0" applyNumberFormat="1" applyFont="1" applyFill="1" applyAlignment="1">
      <alignment horizontal="center"/>
    </xf>
    <xf numFmtId="0" fontId="46" fillId="0" borderId="0" xfId="0" applyFont="1"/>
    <xf numFmtId="0" fontId="2" fillId="0" borderId="0" xfId="0" applyFont="1" applyAlignment="1">
      <alignment horizontal="center"/>
    </xf>
    <xf numFmtId="173" fontId="2" fillId="0" borderId="0" xfId="0" applyNumberFormat="1" applyFont="1"/>
    <xf numFmtId="0" fontId="2" fillId="0" borderId="2" xfId="0" applyFont="1" applyBorder="1" applyAlignment="1">
      <alignment horizontal="center"/>
    </xf>
    <xf numFmtId="165" fontId="2" fillId="0" borderId="0" xfId="0" applyNumberFormat="1" applyFont="1"/>
    <xf numFmtId="0" fontId="2" fillId="0" borderId="26" xfId="0" applyFont="1" applyBorder="1"/>
    <xf numFmtId="0" fontId="3" fillId="0" borderId="27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9" fontId="2" fillId="0" borderId="0" xfId="0" applyNumberFormat="1" applyFont="1"/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2" fontId="2" fillId="0" borderId="30" xfId="0" applyNumberFormat="1" applyFont="1" applyBorder="1"/>
    <xf numFmtId="0" fontId="2" fillId="0" borderId="33" xfId="0" applyFont="1" applyBorder="1" applyAlignment="1">
      <alignment horizontal="center"/>
    </xf>
    <xf numFmtId="3" fontId="2" fillId="0" borderId="34" xfId="0" applyNumberFormat="1" applyFont="1" applyBorder="1"/>
    <xf numFmtId="2" fontId="2" fillId="0" borderId="34" xfId="0" applyNumberFormat="1" applyFont="1" applyBorder="1"/>
    <xf numFmtId="173" fontId="2" fillId="0" borderId="34" xfId="0" applyNumberFormat="1" applyFont="1" applyBorder="1"/>
    <xf numFmtId="2" fontId="2" fillId="0" borderId="35" xfId="0" applyNumberFormat="1" applyFont="1" applyBorder="1"/>
    <xf numFmtId="0" fontId="2" fillId="0" borderId="34" xfId="0" applyFont="1" applyBorder="1"/>
    <xf numFmtId="165" fontId="2" fillId="0" borderId="34" xfId="0" applyNumberFormat="1" applyFont="1" applyBorder="1"/>
    <xf numFmtId="4" fontId="2" fillId="0" borderId="34" xfId="0" applyNumberFormat="1" applyFont="1" applyBorder="1"/>
    <xf numFmtId="165" fontId="2" fillId="0" borderId="30" xfId="0" applyNumberFormat="1" applyFont="1" applyBorder="1"/>
    <xf numFmtId="165" fontId="2" fillId="0" borderId="35" xfId="0" applyNumberFormat="1" applyFont="1" applyBorder="1"/>
    <xf numFmtId="0" fontId="2" fillId="0" borderId="35" xfId="0" applyFont="1" applyBorder="1"/>
    <xf numFmtId="4" fontId="2" fillId="0" borderId="30" xfId="0" applyNumberFormat="1" applyFont="1" applyBorder="1"/>
    <xf numFmtId="4" fontId="2" fillId="0" borderId="35" xfId="0" applyNumberFormat="1" applyFont="1" applyBorder="1"/>
    <xf numFmtId="3" fontId="2" fillId="0" borderId="26" xfId="0" applyNumberFormat="1" applyFont="1" applyBorder="1"/>
    <xf numFmtId="3" fontId="2" fillId="0" borderId="29" xfId="0" applyNumberFormat="1" applyFont="1" applyBorder="1"/>
    <xf numFmtId="0" fontId="3" fillId="0" borderId="34" xfId="0" applyFont="1" applyBorder="1"/>
    <xf numFmtId="3" fontId="0" fillId="0" borderId="0" xfId="0" applyNumberFormat="1"/>
    <xf numFmtId="4" fontId="0" fillId="0" borderId="0" xfId="0" applyNumberFormat="1"/>
    <xf numFmtId="3" fontId="0" fillId="0" borderId="34" xfId="0" applyNumberFormat="1" applyBorder="1"/>
    <xf numFmtId="4" fontId="0" fillId="0" borderId="34" xfId="0" applyNumberFormat="1" applyBorder="1"/>
    <xf numFmtId="3" fontId="47" fillId="0" borderId="34" xfId="0" applyNumberFormat="1" applyFont="1" applyBorder="1"/>
    <xf numFmtId="4" fontId="47" fillId="0" borderId="34" xfId="0" applyNumberFormat="1" applyFont="1" applyBorder="1"/>
    <xf numFmtId="3" fontId="47" fillId="0" borderId="0" xfId="0" applyNumberFormat="1" applyFont="1"/>
    <xf numFmtId="4" fontId="47" fillId="0" borderId="0" xfId="0" applyNumberFormat="1" applyFont="1"/>
    <xf numFmtId="0" fontId="2" fillId="33" borderId="29" xfId="0" applyFont="1" applyFill="1" applyBorder="1" applyAlignment="1">
      <alignment horizontal="center"/>
    </xf>
    <xf numFmtId="3" fontId="47" fillId="33" borderId="0" xfId="0" applyNumberFormat="1" applyFont="1" applyFill="1"/>
    <xf numFmtId="4" fontId="47" fillId="33" borderId="0" xfId="0" applyNumberFormat="1" applyFont="1" applyFill="1"/>
    <xf numFmtId="173" fontId="2" fillId="33" borderId="0" xfId="0" applyNumberFormat="1" applyFont="1" applyFill="1"/>
    <xf numFmtId="2" fontId="2" fillId="33" borderId="0" xfId="0" applyNumberFormat="1" applyFont="1" applyFill="1"/>
    <xf numFmtId="2" fontId="2" fillId="33" borderId="30" xfId="0" applyNumberFormat="1" applyFont="1" applyFill="1" applyBorder="1"/>
    <xf numFmtId="0" fontId="2" fillId="33" borderId="33" xfId="0" applyFont="1" applyFill="1" applyBorder="1" applyAlignment="1">
      <alignment horizontal="center"/>
    </xf>
    <xf numFmtId="3" fontId="47" fillId="33" borderId="34" xfId="0" applyNumberFormat="1" applyFont="1" applyFill="1" applyBorder="1"/>
    <xf numFmtId="4" fontId="47" fillId="33" borderId="34" xfId="0" applyNumberFormat="1" applyFont="1" applyFill="1" applyBorder="1"/>
    <xf numFmtId="173" fontId="2" fillId="33" borderId="34" xfId="0" applyNumberFormat="1" applyFont="1" applyFill="1" applyBorder="1"/>
    <xf numFmtId="2" fontId="2" fillId="33" borderId="34" xfId="0" applyNumberFormat="1" applyFont="1" applyFill="1" applyBorder="1"/>
    <xf numFmtId="2" fontId="2" fillId="33" borderId="35" xfId="0" applyNumberFormat="1" applyFont="1" applyFill="1" applyBorder="1"/>
    <xf numFmtId="3" fontId="48" fillId="0" borderId="0" xfId="0" applyNumberFormat="1" applyFont="1"/>
    <xf numFmtId="17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/>
  </cellXfs>
  <cellStyles count="325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Énfasis1 2" xfId="9" xr:uid="{00000000-0005-0000-0000-000006000000}"/>
    <cellStyle name="20% - Énfasis1 2 2" xfId="10" xr:uid="{00000000-0005-0000-0000-000007000000}"/>
    <cellStyle name="20% - Énfasis1 3" xfId="11" xr:uid="{00000000-0005-0000-0000-000008000000}"/>
    <cellStyle name="20% - Énfasis1 4" xfId="12" xr:uid="{00000000-0005-0000-0000-000009000000}"/>
    <cellStyle name="20% - Énfasis1 5" xfId="13" xr:uid="{00000000-0005-0000-0000-00000A000000}"/>
    <cellStyle name="20% - Énfasis1 5 2" xfId="14" xr:uid="{00000000-0005-0000-0000-00000B000000}"/>
    <cellStyle name="20% - Énfasis1 6" xfId="15" xr:uid="{00000000-0005-0000-0000-00000C000000}"/>
    <cellStyle name="20% - Énfasis1 7" xfId="16" xr:uid="{00000000-0005-0000-0000-00000D000000}"/>
    <cellStyle name="20% - Énfasis2 2" xfId="17" xr:uid="{00000000-0005-0000-0000-00000E000000}"/>
    <cellStyle name="20% - Énfasis2 2 2" xfId="18" xr:uid="{00000000-0005-0000-0000-00000F000000}"/>
    <cellStyle name="20% - Énfasis2 3" xfId="19" xr:uid="{00000000-0005-0000-0000-000010000000}"/>
    <cellStyle name="20% - Énfasis2 4" xfId="20" xr:uid="{00000000-0005-0000-0000-000011000000}"/>
    <cellStyle name="20% - Énfasis2 5" xfId="21" xr:uid="{00000000-0005-0000-0000-000012000000}"/>
    <cellStyle name="20% - Énfasis2 5 2" xfId="22" xr:uid="{00000000-0005-0000-0000-000013000000}"/>
    <cellStyle name="20% - Énfasis2 6" xfId="23" xr:uid="{00000000-0005-0000-0000-000014000000}"/>
    <cellStyle name="20% - Énfasis2 7" xfId="24" xr:uid="{00000000-0005-0000-0000-000015000000}"/>
    <cellStyle name="20% - Énfasis3 2" xfId="25" xr:uid="{00000000-0005-0000-0000-000016000000}"/>
    <cellStyle name="20% - Énfasis3 2 2" xfId="26" xr:uid="{00000000-0005-0000-0000-000017000000}"/>
    <cellStyle name="20% - Énfasis3 3" xfId="27" xr:uid="{00000000-0005-0000-0000-000018000000}"/>
    <cellStyle name="20% - Énfasis3 4" xfId="28" xr:uid="{00000000-0005-0000-0000-000019000000}"/>
    <cellStyle name="20% - Énfasis3 5" xfId="29" xr:uid="{00000000-0005-0000-0000-00001A000000}"/>
    <cellStyle name="20% - Énfasis3 5 2" xfId="30" xr:uid="{00000000-0005-0000-0000-00001B000000}"/>
    <cellStyle name="20% - Énfasis3 6" xfId="31" xr:uid="{00000000-0005-0000-0000-00001C000000}"/>
    <cellStyle name="20% - Énfasis3 7" xfId="32" xr:uid="{00000000-0005-0000-0000-00001D000000}"/>
    <cellStyle name="20% - Énfasis4 2" xfId="33" xr:uid="{00000000-0005-0000-0000-00001E000000}"/>
    <cellStyle name="20% - Énfasis4 2 2" xfId="34" xr:uid="{00000000-0005-0000-0000-00001F000000}"/>
    <cellStyle name="20% - Énfasis4 3" xfId="35" xr:uid="{00000000-0005-0000-0000-000020000000}"/>
    <cellStyle name="20% - Énfasis4 4" xfId="36" xr:uid="{00000000-0005-0000-0000-000021000000}"/>
    <cellStyle name="20% - Énfasis4 5" xfId="37" xr:uid="{00000000-0005-0000-0000-000022000000}"/>
    <cellStyle name="20% - Énfasis4 5 2" xfId="38" xr:uid="{00000000-0005-0000-0000-000023000000}"/>
    <cellStyle name="20% - Énfasis4 6" xfId="39" xr:uid="{00000000-0005-0000-0000-000024000000}"/>
    <cellStyle name="20% - Énfasis4 7" xfId="40" xr:uid="{00000000-0005-0000-0000-000025000000}"/>
    <cellStyle name="20% - Énfasis5 2" xfId="41" xr:uid="{00000000-0005-0000-0000-000026000000}"/>
    <cellStyle name="20% - Énfasis5 2 2" xfId="42" xr:uid="{00000000-0005-0000-0000-000027000000}"/>
    <cellStyle name="20% - Énfasis5 3" xfId="43" xr:uid="{00000000-0005-0000-0000-000028000000}"/>
    <cellStyle name="20% - Énfasis5 4" xfId="44" xr:uid="{00000000-0005-0000-0000-000029000000}"/>
    <cellStyle name="20% - Énfasis5 5" xfId="45" xr:uid="{00000000-0005-0000-0000-00002A000000}"/>
    <cellStyle name="20% - Énfasis5 5 2" xfId="46" xr:uid="{00000000-0005-0000-0000-00002B000000}"/>
    <cellStyle name="20% - Énfasis5 6" xfId="47" xr:uid="{00000000-0005-0000-0000-00002C000000}"/>
    <cellStyle name="20% - Énfasis5 7" xfId="48" xr:uid="{00000000-0005-0000-0000-00002D000000}"/>
    <cellStyle name="20% - Énfasis6 2" xfId="49" xr:uid="{00000000-0005-0000-0000-00002E000000}"/>
    <cellStyle name="20% - Énfasis6 2 2" xfId="50" xr:uid="{00000000-0005-0000-0000-00002F000000}"/>
    <cellStyle name="20% - Énfasis6 3" xfId="51" xr:uid="{00000000-0005-0000-0000-000030000000}"/>
    <cellStyle name="20% - Énfasis6 4" xfId="52" xr:uid="{00000000-0005-0000-0000-000031000000}"/>
    <cellStyle name="20% - Énfasis6 5" xfId="53" xr:uid="{00000000-0005-0000-0000-000032000000}"/>
    <cellStyle name="20% - Énfasis6 5 2" xfId="54" xr:uid="{00000000-0005-0000-0000-000033000000}"/>
    <cellStyle name="20% - Énfasis6 6" xfId="55" xr:uid="{00000000-0005-0000-0000-000034000000}"/>
    <cellStyle name="20% - Énfasis6 7" xfId="56" xr:uid="{00000000-0005-0000-0000-000035000000}"/>
    <cellStyle name="40% - Accent1" xfId="57" xr:uid="{00000000-0005-0000-0000-000036000000}"/>
    <cellStyle name="40% - Accent2" xfId="58" xr:uid="{00000000-0005-0000-0000-000037000000}"/>
    <cellStyle name="40% - Accent3" xfId="59" xr:uid="{00000000-0005-0000-0000-000038000000}"/>
    <cellStyle name="40% - Accent4" xfId="60" xr:uid="{00000000-0005-0000-0000-000039000000}"/>
    <cellStyle name="40% - Accent5" xfId="61" xr:uid="{00000000-0005-0000-0000-00003A000000}"/>
    <cellStyle name="40% - Accent6" xfId="62" xr:uid="{00000000-0005-0000-0000-00003B000000}"/>
    <cellStyle name="40% - Énfasis1 2" xfId="63" xr:uid="{00000000-0005-0000-0000-00003C000000}"/>
    <cellStyle name="40% - Énfasis1 2 2" xfId="64" xr:uid="{00000000-0005-0000-0000-00003D000000}"/>
    <cellStyle name="40% - Énfasis1 3" xfId="65" xr:uid="{00000000-0005-0000-0000-00003E000000}"/>
    <cellStyle name="40% - Énfasis1 4" xfId="66" xr:uid="{00000000-0005-0000-0000-00003F000000}"/>
    <cellStyle name="40% - Énfasis1 5" xfId="67" xr:uid="{00000000-0005-0000-0000-000040000000}"/>
    <cellStyle name="40% - Énfasis1 5 2" xfId="68" xr:uid="{00000000-0005-0000-0000-000041000000}"/>
    <cellStyle name="40% - Énfasis1 6" xfId="69" xr:uid="{00000000-0005-0000-0000-000042000000}"/>
    <cellStyle name="40% - Énfasis1 7" xfId="70" xr:uid="{00000000-0005-0000-0000-000043000000}"/>
    <cellStyle name="40% - Énfasis2 2" xfId="71" xr:uid="{00000000-0005-0000-0000-000044000000}"/>
    <cellStyle name="40% - Énfasis2 2 2" xfId="72" xr:uid="{00000000-0005-0000-0000-000045000000}"/>
    <cellStyle name="40% - Énfasis2 3" xfId="73" xr:uid="{00000000-0005-0000-0000-000046000000}"/>
    <cellStyle name="40% - Énfasis2 4" xfId="74" xr:uid="{00000000-0005-0000-0000-000047000000}"/>
    <cellStyle name="40% - Énfasis2 5" xfId="75" xr:uid="{00000000-0005-0000-0000-000048000000}"/>
    <cellStyle name="40% - Énfasis2 5 2" xfId="76" xr:uid="{00000000-0005-0000-0000-000049000000}"/>
    <cellStyle name="40% - Énfasis2 6" xfId="77" xr:uid="{00000000-0005-0000-0000-00004A000000}"/>
    <cellStyle name="40% - Énfasis2 7" xfId="78" xr:uid="{00000000-0005-0000-0000-00004B000000}"/>
    <cellStyle name="40% - Énfasis3 2" xfId="79" xr:uid="{00000000-0005-0000-0000-00004C000000}"/>
    <cellStyle name="40% - Énfasis3 2 2" xfId="80" xr:uid="{00000000-0005-0000-0000-00004D000000}"/>
    <cellStyle name="40% - Énfasis3 3" xfId="81" xr:uid="{00000000-0005-0000-0000-00004E000000}"/>
    <cellStyle name="40% - Énfasis3 4" xfId="82" xr:uid="{00000000-0005-0000-0000-00004F000000}"/>
    <cellStyle name="40% - Énfasis3 5" xfId="83" xr:uid="{00000000-0005-0000-0000-000050000000}"/>
    <cellStyle name="40% - Énfasis3 5 2" xfId="84" xr:uid="{00000000-0005-0000-0000-000051000000}"/>
    <cellStyle name="40% - Énfasis3 6" xfId="85" xr:uid="{00000000-0005-0000-0000-000052000000}"/>
    <cellStyle name="40% - Énfasis3 7" xfId="86" xr:uid="{00000000-0005-0000-0000-000053000000}"/>
    <cellStyle name="40% - Énfasis4 2" xfId="87" xr:uid="{00000000-0005-0000-0000-000054000000}"/>
    <cellStyle name="40% - Énfasis4 2 2" xfId="88" xr:uid="{00000000-0005-0000-0000-000055000000}"/>
    <cellStyle name="40% - Énfasis4 3" xfId="89" xr:uid="{00000000-0005-0000-0000-000056000000}"/>
    <cellStyle name="40% - Énfasis4 4" xfId="90" xr:uid="{00000000-0005-0000-0000-000057000000}"/>
    <cellStyle name="40% - Énfasis4 5" xfId="91" xr:uid="{00000000-0005-0000-0000-000058000000}"/>
    <cellStyle name="40% - Énfasis4 5 2" xfId="92" xr:uid="{00000000-0005-0000-0000-000059000000}"/>
    <cellStyle name="40% - Énfasis4 6" xfId="93" xr:uid="{00000000-0005-0000-0000-00005A000000}"/>
    <cellStyle name="40% - Énfasis4 7" xfId="94" xr:uid="{00000000-0005-0000-0000-00005B000000}"/>
    <cellStyle name="40% - Énfasis5 2" xfId="95" xr:uid="{00000000-0005-0000-0000-00005C000000}"/>
    <cellStyle name="40% - Énfasis5 2 2" xfId="96" xr:uid="{00000000-0005-0000-0000-00005D000000}"/>
    <cellStyle name="40% - Énfasis5 3" xfId="97" xr:uid="{00000000-0005-0000-0000-00005E000000}"/>
    <cellStyle name="40% - Énfasis5 4" xfId="98" xr:uid="{00000000-0005-0000-0000-00005F000000}"/>
    <cellStyle name="40% - Énfasis5 5" xfId="99" xr:uid="{00000000-0005-0000-0000-000060000000}"/>
    <cellStyle name="40% - Énfasis5 5 2" xfId="100" xr:uid="{00000000-0005-0000-0000-000061000000}"/>
    <cellStyle name="40% - Énfasis5 6" xfId="101" xr:uid="{00000000-0005-0000-0000-000062000000}"/>
    <cellStyle name="40% - Énfasis5 7" xfId="102" xr:uid="{00000000-0005-0000-0000-000063000000}"/>
    <cellStyle name="40% - Énfasis6 2" xfId="103" xr:uid="{00000000-0005-0000-0000-000064000000}"/>
    <cellStyle name="40% - Énfasis6 2 2" xfId="104" xr:uid="{00000000-0005-0000-0000-000065000000}"/>
    <cellStyle name="40% - Énfasis6 3" xfId="105" xr:uid="{00000000-0005-0000-0000-000066000000}"/>
    <cellStyle name="40% - Énfasis6 4" xfId="106" xr:uid="{00000000-0005-0000-0000-000067000000}"/>
    <cellStyle name="40% - Énfasis6 5" xfId="107" xr:uid="{00000000-0005-0000-0000-000068000000}"/>
    <cellStyle name="40% - Énfasis6 5 2" xfId="108" xr:uid="{00000000-0005-0000-0000-000069000000}"/>
    <cellStyle name="40% - Énfasis6 6" xfId="109" xr:uid="{00000000-0005-0000-0000-00006A000000}"/>
    <cellStyle name="40% - Énfasis6 7" xfId="110" xr:uid="{00000000-0005-0000-0000-00006B000000}"/>
    <cellStyle name="60% - Accent1" xfId="111" xr:uid="{00000000-0005-0000-0000-00006C000000}"/>
    <cellStyle name="60% - Accent2" xfId="112" xr:uid="{00000000-0005-0000-0000-00006D000000}"/>
    <cellStyle name="60% - Accent3" xfId="113" xr:uid="{00000000-0005-0000-0000-00006E000000}"/>
    <cellStyle name="60% - Accent4" xfId="114" xr:uid="{00000000-0005-0000-0000-00006F000000}"/>
    <cellStyle name="60% - Accent5" xfId="115" xr:uid="{00000000-0005-0000-0000-000070000000}"/>
    <cellStyle name="60% - Accent6" xfId="116" xr:uid="{00000000-0005-0000-0000-000071000000}"/>
    <cellStyle name="60% - Énfasis1 2" xfId="117" xr:uid="{00000000-0005-0000-0000-000072000000}"/>
    <cellStyle name="60% - Énfasis1 3" xfId="118" xr:uid="{00000000-0005-0000-0000-000073000000}"/>
    <cellStyle name="60% - Énfasis1 4" xfId="119" xr:uid="{00000000-0005-0000-0000-000074000000}"/>
    <cellStyle name="60% - Énfasis1 5" xfId="120" xr:uid="{00000000-0005-0000-0000-000075000000}"/>
    <cellStyle name="60% - Énfasis1 6" xfId="121" xr:uid="{00000000-0005-0000-0000-000076000000}"/>
    <cellStyle name="60% - Énfasis2 2" xfId="122" xr:uid="{00000000-0005-0000-0000-000077000000}"/>
    <cellStyle name="60% - Énfasis2 3" xfId="123" xr:uid="{00000000-0005-0000-0000-000078000000}"/>
    <cellStyle name="60% - Énfasis2 4" xfId="124" xr:uid="{00000000-0005-0000-0000-000079000000}"/>
    <cellStyle name="60% - Énfasis2 5" xfId="125" xr:uid="{00000000-0005-0000-0000-00007A000000}"/>
    <cellStyle name="60% - Énfasis2 6" xfId="126" xr:uid="{00000000-0005-0000-0000-00007B000000}"/>
    <cellStyle name="60% - Énfasis3 2" xfId="127" xr:uid="{00000000-0005-0000-0000-00007C000000}"/>
    <cellStyle name="60% - Énfasis3 3" xfId="128" xr:uid="{00000000-0005-0000-0000-00007D000000}"/>
    <cellStyle name="60% - Énfasis3 4" xfId="129" xr:uid="{00000000-0005-0000-0000-00007E000000}"/>
    <cellStyle name="60% - Énfasis3 5" xfId="130" xr:uid="{00000000-0005-0000-0000-00007F000000}"/>
    <cellStyle name="60% - Énfasis3 6" xfId="131" xr:uid="{00000000-0005-0000-0000-000080000000}"/>
    <cellStyle name="60% - Énfasis4 2" xfId="132" xr:uid="{00000000-0005-0000-0000-000081000000}"/>
    <cellStyle name="60% - Énfasis4 3" xfId="133" xr:uid="{00000000-0005-0000-0000-000082000000}"/>
    <cellStyle name="60% - Énfasis4 4" xfId="134" xr:uid="{00000000-0005-0000-0000-000083000000}"/>
    <cellStyle name="60% - Énfasis4 5" xfId="135" xr:uid="{00000000-0005-0000-0000-000084000000}"/>
    <cellStyle name="60% - Énfasis4 6" xfId="136" xr:uid="{00000000-0005-0000-0000-000085000000}"/>
    <cellStyle name="60% - Énfasis5 2" xfId="137" xr:uid="{00000000-0005-0000-0000-000086000000}"/>
    <cellStyle name="60% - Énfasis5 3" xfId="138" xr:uid="{00000000-0005-0000-0000-000087000000}"/>
    <cellStyle name="60% - Énfasis5 4" xfId="139" xr:uid="{00000000-0005-0000-0000-000088000000}"/>
    <cellStyle name="60% - Énfasis5 5" xfId="140" xr:uid="{00000000-0005-0000-0000-000089000000}"/>
    <cellStyle name="60% - Énfasis5 6" xfId="141" xr:uid="{00000000-0005-0000-0000-00008A000000}"/>
    <cellStyle name="60% - Énfasis6 2" xfId="142" xr:uid="{00000000-0005-0000-0000-00008B000000}"/>
    <cellStyle name="60% - Énfasis6 3" xfId="143" xr:uid="{00000000-0005-0000-0000-00008C000000}"/>
    <cellStyle name="60% - Énfasis6 4" xfId="144" xr:uid="{00000000-0005-0000-0000-00008D000000}"/>
    <cellStyle name="60% - Énfasis6 5" xfId="145" xr:uid="{00000000-0005-0000-0000-00008E000000}"/>
    <cellStyle name="60% - Énfasis6 6" xfId="146" xr:uid="{00000000-0005-0000-0000-00008F000000}"/>
    <cellStyle name="Accent1" xfId="147" xr:uid="{00000000-0005-0000-0000-000090000000}"/>
    <cellStyle name="Accent2" xfId="148" xr:uid="{00000000-0005-0000-0000-000091000000}"/>
    <cellStyle name="Accent3" xfId="149" xr:uid="{00000000-0005-0000-0000-000092000000}"/>
    <cellStyle name="Accent4" xfId="150" xr:uid="{00000000-0005-0000-0000-000093000000}"/>
    <cellStyle name="Accent5" xfId="151" xr:uid="{00000000-0005-0000-0000-000094000000}"/>
    <cellStyle name="Accent6" xfId="152" xr:uid="{00000000-0005-0000-0000-000095000000}"/>
    <cellStyle name="Bad" xfId="153" xr:uid="{00000000-0005-0000-0000-000096000000}"/>
    <cellStyle name="Buena 2" xfId="154" xr:uid="{00000000-0005-0000-0000-000097000000}"/>
    <cellStyle name="Buena 3" xfId="155" xr:uid="{00000000-0005-0000-0000-000098000000}"/>
    <cellStyle name="Buena 4" xfId="156" xr:uid="{00000000-0005-0000-0000-000099000000}"/>
    <cellStyle name="Buena 5" xfId="157" xr:uid="{00000000-0005-0000-0000-00009A000000}"/>
    <cellStyle name="Buena 6" xfId="158" xr:uid="{00000000-0005-0000-0000-00009B000000}"/>
    <cellStyle name="Calculation" xfId="159" xr:uid="{00000000-0005-0000-0000-00009C000000}"/>
    <cellStyle name="Cálculo 2" xfId="160" xr:uid="{00000000-0005-0000-0000-00009D000000}"/>
    <cellStyle name="Cálculo 3" xfId="161" xr:uid="{00000000-0005-0000-0000-00009E000000}"/>
    <cellStyle name="Cálculo 4" xfId="162" xr:uid="{00000000-0005-0000-0000-00009F000000}"/>
    <cellStyle name="Cálculo 5" xfId="163" xr:uid="{00000000-0005-0000-0000-0000A0000000}"/>
    <cellStyle name="Cálculo 6" xfId="164" xr:uid="{00000000-0005-0000-0000-0000A1000000}"/>
    <cellStyle name="Celda de comprobación 2" xfId="165" xr:uid="{00000000-0005-0000-0000-0000A2000000}"/>
    <cellStyle name="Celda de comprobación 3" xfId="166" xr:uid="{00000000-0005-0000-0000-0000A3000000}"/>
    <cellStyle name="Celda de comprobación 4" xfId="167" xr:uid="{00000000-0005-0000-0000-0000A4000000}"/>
    <cellStyle name="Celda de comprobación 5" xfId="168" xr:uid="{00000000-0005-0000-0000-0000A5000000}"/>
    <cellStyle name="Celda de comprobación 6" xfId="169" xr:uid="{00000000-0005-0000-0000-0000A6000000}"/>
    <cellStyle name="Celda vinculada 2" xfId="170" xr:uid="{00000000-0005-0000-0000-0000A7000000}"/>
    <cellStyle name="Celda vinculada 3" xfId="171" xr:uid="{00000000-0005-0000-0000-0000A8000000}"/>
    <cellStyle name="Celda vinculada 4" xfId="172" xr:uid="{00000000-0005-0000-0000-0000A9000000}"/>
    <cellStyle name="Celda vinculada 5" xfId="173" xr:uid="{00000000-0005-0000-0000-0000AA000000}"/>
    <cellStyle name="Celda vinculada 6" xfId="174" xr:uid="{00000000-0005-0000-0000-0000AB000000}"/>
    <cellStyle name="Check Cell" xfId="175" xr:uid="{00000000-0005-0000-0000-0000AC000000}"/>
    <cellStyle name="Dia" xfId="176" xr:uid="{00000000-0005-0000-0000-0000AD000000}"/>
    <cellStyle name="Encabez1" xfId="177" xr:uid="{00000000-0005-0000-0000-0000AE000000}"/>
    <cellStyle name="Encabez2" xfId="178" xr:uid="{00000000-0005-0000-0000-0000AF000000}"/>
    <cellStyle name="Encabezado 4 2" xfId="179" xr:uid="{00000000-0005-0000-0000-0000B0000000}"/>
    <cellStyle name="Encabezado 4 3" xfId="180" xr:uid="{00000000-0005-0000-0000-0000B1000000}"/>
    <cellStyle name="Encabezado 4 4" xfId="181" xr:uid="{00000000-0005-0000-0000-0000B2000000}"/>
    <cellStyle name="Encabezado 4 5" xfId="182" xr:uid="{00000000-0005-0000-0000-0000B3000000}"/>
    <cellStyle name="Encabezado 4 6" xfId="183" xr:uid="{00000000-0005-0000-0000-0000B4000000}"/>
    <cellStyle name="Énfasis1 2" xfId="184" xr:uid="{00000000-0005-0000-0000-0000B5000000}"/>
    <cellStyle name="Énfasis1 3" xfId="185" xr:uid="{00000000-0005-0000-0000-0000B6000000}"/>
    <cellStyle name="Énfasis1 4" xfId="186" xr:uid="{00000000-0005-0000-0000-0000B7000000}"/>
    <cellStyle name="Énfasis1 5" xfId="187" xr:uid="{00000000-0005-0000-0000-0000B8000000}"/>
    <cellStyle name="Énfasis1 6" xfId="188" xr:uid="{00000000-0005-0000-0000-0000B9000000}"/>
    <cellStyle name="Énfasis2 2" xfId="189" xr:uid="{00000000-0005-0000-0000-0000BA000000}"/>
    <cellStyle name="Énfasis2 3" xfId="190" xr:uid="{00000000-0005-0000-0000-0000BB000000}"/>
    <cellStyle name="Énfasis2 4" xfId="191" xr:uid="{00000000-0005-0000-0000-0000BC000000}"/>
    <cellStyle name="Énfasis2 5" xfId="192" xr:uid="{00000000-0005-0000-0000-0000BD000000}"/>
    <cellStyle name="Énfasis2 6" xfId="193" xr:uid="{00000000-0005-0000-0000-0000BE000000}"/>
    <cellStyle name="Énfasis3 2" xfId="194" xr:uid="{00000000-0005-0000-0000-0000BF000000}"/>
    <cellStyle name="Énfasis3 3" xfId="195" xr:uid="{00000000-0005-0000-0000-0000C0000000}"/>
    <cellStyle name="Énfasis3 4" xfId="196" xr:uid="{00000000-0005-0000-0000-0000C1000000}"/>
    <cellStyle name="Énfasis3 5" xfId="197" xr:uid="{00000000-0005-0000-0000-0000C2000000}"/>
    <cellStyle name="Énfasis3 6" xfId="198" xr:uid="{00000000-0005-0000-0000-0000C3000000}"/>
    <cellStyle name="Énfasis4 2" xfId="199" xr:uid="{00000000-0005-0000-0000-0000C4000000}"/>
    <cellStyle name="Énfasis4 3" xfId="200" xr:uid="{00000000-0005-0000-0000-0000C5000000}"/>
    <cellStyle name="Énfasis4 4" xfId="201" xr:uid="{00000000-0005-0000-0000-0000C6000000}"/>
    <cellStyle name="Énfasis4 5" xfId="202" xr:uid="{00000000-0005-0000-0000-0000C7000000}"/>
    <cellStyle name="Énfasis4 6" xfId="203" xr:uid="{00000000-0005-0000-0000-0000C8000000}"/>
    <cellStyle name="Énfasis5 2" xfId="204" xr:uid="{00000000-0005-0000-0000-0000C9000000}"/>
    <cellStyle name="Énfasis5 3" xfId="205" xr:uid="{00000000-0005-0000-0000-0000CA000000}"/>
    <cellStyle name="Énfasis5 4" xfId="206" xr:uid="{00000000-0005-0000-0000-0000CB000000}"/>
    <cellStyle name="Énfasis5 5" xfId="207" xr:uid="{00000000-0005-0000-0000-0000CC000000}"/>
    <cellStyle name="Énfasis5 6" xfId="208" xr:uid="{00000000-0005-0000-0000-0000CD000000}"/>
    <cellStyle name="Énfasis6 2" xfId="209" xr:uid="{00000000-0005-0000-0000-0000CE000000}"/>
    <cellStyle name="Énfasis6 3" xfId="210" xr:uid="{00000000-0005-0000-0000-0000CF000000}"/>
    <cellStyle name="Énfasis6 4" xfId="211" xr:uid="{00000000-0005-0000-0000-0000D0000000}"/>
    <cellStyle name="Énfasis6 5" xfId="212" xr:uid="{00000000-0005-0000-0000-0000D1000000}"/>
    <cellStyle name="Énfasis6 6" xfId="213" xr:uid="{00000000-0005-0000-0000-0000D2000000}"/>
    <cellStyle name="Entrada 2" xfId="214" xr:uid="{00000000-0005-0000-0000-0000D3000000}"/>
    <cellStyle name="Entrada 3" xfId="215" xr:uid="{00000000-0005-0000-0000-0000D4000000}"/>
    <cellStyle name="Entrada 4" xfId="216" xr:uid="{00000000-0005-0000-0000-0000D5000000}"/>
    <cellStyle name="Entrada 5" xfId="217" xr:uid="{00000000-0005-0000-0000-0000D6000000}"/>
    <cellStyle name="Entrada 6" xfId="218" xr:uid="{00000000-0005-0000-0000-0000D7000000}"/>
    <cellStyle name="Euro" xfId="219" xr:uid="{00000000-0005-0000-0000-0000D8000000}"/>
    <cellStyle name="Explanatory Text" xfId="220" xr:uid="{00000000-0005-0000-0000-0000D9000000}"/>
    <cellStyle name="F2" xfId="221" xr:uid="{00000000-0005-0000-0000-0000DA000000}"/>
    <cellStyle name="F3" xfId="222" xr:uid="{00000000-0005-0000-0000-0000DB000000}"/>
    <cellStyle name="F4" xfId="223" xr:uid="{00000000-0005-0000-0000-0000DC000000}"/>
    <cellStyle name="F5" xfId="224" xr:uid="{00000000-0005-0000-0000-0000DD000000}"/>
    <cellStyle name="F6" xfId="225" xr:uid="{00000000-0005-0000-0000-0000DE000000}"/>
    <cellStyle name="F7" xfId="226" xr:uid="{00000000-0005-0000-0000-0000DF000000}"/>
    <cellStyle name="F8" xfId="227" xr:uid="{00000000-0005-0000-0000-0000E0000000}"/>
    <cellStyle name="Fijo" xfId="228" xr:uid="{00000000-0005-0000-0000-0000E1000000}"/>
    <cellStyle name="Financiero" xfId="229" xr:uid="{00000000-0005-0000-0000-0000E2000000}"/>
    <cellStyle name="Good" xfId="230" xr:uid="{00000000-0005-0000-0000-0000E3000000}"/>
    <cellStyle name="Heading 1" xfId="231" xr:uid="{00000000-0005-0000-0000-0000E4000000}"/>
    <cellStyle name="Heading 2" xfId="232" xr:uid="{00000000-0005-0000-0000-0000E5000000}"/>
    <cellStyle name="Heading 3" xfId="233" xr:uid="{00000000-0005-0000-0000-0000E6000000}"/>
    <cellStyle name="Heading 4" xfId="234" xr:uid="{00000000-0005-0000-0000-0000E7000000}"/>
    <cellStyle name="Hipervínculo 2" xfId="235" xr:uid="{00000000-0005-0000-0000-0000E8000000}"/>
    <cellStyle name="Incorrecto 2" xfId="236" xr:uid="{00000000-0005-0000-0000-0000E9000000}"/>
    <cellStyle name="Incorrecto 3" xfId="237" xr:uid="{00000000-0005-0000-0000-0000EA000000}"/>
    <cellStyle name="Incorrecto 4" xfId="238" xr:uid="{00000000-0005-0000-0000-0000EB000000}"/>
    <cellStyle name="Incorrecto 5" xfId="239" xr:uid="{00000000-0005-0000-0000-0000EC000000}"/>
    <cellStyle name="Incorrecto 6" xfId="240" xr:uid="{00000000-0005-0000-0000-0000ED000000}"/>
    <cellStyle name="Input" xfId="241" xr:uid="{00000000-0005-0000-0000-0000EE000000}"/>
    <cellStyle name="Linked Cell" xfId="242" xr:uid="{00000000-0005-0000-0000-0000EF000000}"/>
    <cellStyle name="Millares" xfId="324" builtinId="3"/>
    <cellStyle name="Millares 2" xfId="243" xr:uid="{00000000-0005-0000-0000-0000F1000000}"/>
    <cellStyle name="Millares 3" xfId="244" xr:uid="{00000000-0005-0000-0000-0000F2000000}"/>
    <cellStyle name="Millares 4" xfId="245" xr:uid="{00000000-0005-0000-0000-0000F3000000}"/>
    <cellStyle name="Millares 5" xfId="246" xr:uid="{00000000-0005-0000-0000-0000F4000000}"/>
    <cellStyle name="Millares 6" xfId="247" xr:uid="{00000000-0005-0000-0000-0000F5000000}"/>
    <cellStyle name="Monetario" xfId="248" xr:uid="{00000000-0005-0000-0000-0000F6000000}"/>
    <cellStyle name="Neutral 2" xfId="249" xr:uid="{00000000-0005-0000-0000-0000F7000000}"/>
    <cellStyle name="Neutral 3" xfId="250" xr:uid="{00000000-0005-0000-0000-0000F8000000}"/>
    <cellStyle name="Neutral 4" xfId="251" xr:uid="{00000000-0005-0000-0000-0000F9000000}"/>
    <cellStyle name="Neutral 5" xfId="252" xr:uid="{00000000-0005-0000-0000-0000FA000000}"/>
    <cellStyle name="Neutral 6" xfId="253" xr:uid="{00000000-0005-0000-0000-0000FB000000}"/>
    <cellStyle name="Normal" xfId="0" builtinId="0"/>
    <cellStyle name="Normal 10" xfId="254" xr:uid="{00000000-0005-0000-0000-0000FD000000}"/>
    <cellStyle name="Normal 2" xfId="2" xr:uid="{00000000-0005-0000-0000-0000FE000000}"/>
    <cellStyle name="Normal 2 2" xfId="255" xr:uid="{00000000-0005-0000-0000-0000FF000000}"/>
    <cellStyle name="Normal 2 3" xfId="256" xr:uid="{00000000-0005-0000-0000-000000010000}"/>
    <cellStyle name="Normal 2 3 2" xfId="257" xr:uid="{00000000-0005-0000-0000-000001010000}"/>
    <cellStyle name="Normal 2 4" xfId="258" xr:uid="{00000000-0005-0000-0000-000002010000}"/>
    <cellStyle name="Normal 3" xfId="259" xr:uid="{00000000-0005-0000-0000-000003010000}"/>
    <cellStyle name="Normal 4" xfId="260" xr:uid="{00000000-0005-0000-0000-000004010000}"/>
    <cellStyle name="Normal 4 2" xfId="261" xr:uid="{00000000-0005-0000-0000-000005010000}"/>
    <cellStyle name="Normal 5" xfId="262" xr:uid="{00000000-0005-0000-0000-000006010000}"/>
    <cellStyle name="Normal 6" xfId="263" xr:uid="{00000000-0005-0000-0000-000007010000}"/>
    <cellStyle name="Normal 7" xfId="264" xr:uid="{00000000-0005-0000-0000-000008010000}"/>
    <cellStyle name="Normal 7 2" xfId="265" xr:uid="{00000000-0005-0000-0000-000009010000}"/>
    <cellStyle name="Normal 8" xfId="266" xr:uid="{00000000-0005-0000-0000-00000A010000}"/>
    <cellStyle name="Normal 9" xfId="267" xr:uid="{00000000-0005-0000-0000-00000B010000}"/>
    <cellStyle name="Notas 2" xfId="268" xr:uid="{00000000-0005-0000-0000-00000C010000}"/>
    <cellStyle name="Notas 2 2" xfId="269" xr:uid="{00000000-0005-0000-0000-00000D010000}"/>
    <cellStyle name="Notas 3" xfId="270" xr:uid="{00000000-0005-0000-0000-00000E010000}"/>
    <cellStyle name="Notas 4" xfId="271" xr:uid="{00000000-0005-0000-0000-00000F010000}"/>
    <cellStyle name="Notas 5" xfId="272" xr:uid="{00000000-0005-0000-0000-000010010000}"/>
    <cellStyle name="Notas 5 2" xfId="273" xr:uid="{00000000-0005-0000-0000-000011010000}"/>
    <cellStyle name="Notas 6" xfId="274" xr:uid="{00000000-0005-0000-0000-000012010000}"/>
    <cellStyle name="Notas 7" xfId="275" xr:uid="{00000000-0005-0000-0000-000013010000}"/>
    <cellStyle name="Note" xfId="276" xr:uid="{00000000-0005-0000-0000-000014010000}"/>
    <cellStyle name="Output" xfId="277" xr:uid="{00000000-0005-0000-0000-000015010000}"/>
    <cellStyle name="Porcentaje" xfId="1" builtinId="5"/>
    <cellStyle name="Porcentaje 2" xfId="278" xr:uid="{00000000-0005-0000-0000-000017010000}"/>
    <cellStyle name="Porcentaje 3" xfId="279" xr:uid="{00000000-0005-0000-0000-000018010000}"/>
    <cellStyle name="Porcentaje 4" xfId="280" xr:uid="{00000000-0005-0000-0000-000019010000}"/>
    <cellStyle name="Porcentaje 5" xfId="281" xr:uid="{00000000-0005-0000-0000-00001A010000}"/>
    <cellStyle name="Salida 2" xfId="282" xr:uid="{00000000-0005-0000-0000-00001B010000}"/>
    <cellStyle name="Salida 3" xfId="283" xr:uid="{00000000-0005-0000-0000-00001C010000}"/>
    <cellStyle name="Salida 4" xfId="284" xr:uid="{00000000-0005-0000-0000-00001D010000}"/>
    <cellStyle name="Salida 5" xfId="285" xr:uid="{00000000-0005-0000-0000-00001E010000}"/>
    <cellStyle name="Salida 6" xfId="286" xr:uid="{00000000-0005-0000-0000-00001F010000}"/>
    <cellStyle name="Texto de advertencia 2" xfId="287" xr:uid="{00000000-0005-0000-0000-000020010000}"/>
    <cellStyle name="Texto de advertencia 3" xfId="288" xr:uid="{00000000-0005-0000-0000-000021010000}"/>
    <cellStyle name="Texto de advertencia 4" xfId="289" xr:uid="{00000000-0005-0000-0000-000022010000}"/>
    <cellStyle name="Texto de advertencia 5" xfId="290" xr:uid="{00000000-0005-0000-0000-000023010000}"/>
    <cellStyle name="Texto de advertencia 6" xfId="291" xr:uid="{00000000-0005-0000-0000-000024010000}"/>
    <cellStyle name="Texto explicativo 2" xfId="292" xr:uid="{00000000-0005-0000-0000-000025010000}"/>
    <cellStyle name="Texto explicativo 3" xfId="293" xr:uid="{00000000-0005-0000-0000-000026010000}"/>
    <cellStyle name="Texto explicativo 4" xfId="294" xr:uid="{00000000-0005-0000-0000-000027010000}"/>
    <cellStyle name="Texto explicativo 5" xfId="295" xr:uid="{00000000-0005-0000-0000-000028010000}"/>
    <cellStyle name="Texto explicativo 6" xfId="296" xr:uid="{00000000-0005-0000-0000-000029010000}"/>
    <cellStyle name="Title" xfId="297" xr:uid="{00000000-0005-0000-0000-00002A010000}"/>
    <cellStyle name="Título 1 2" xfId="298" xr:uid="{00000000-0005-0000-0000-00002B010000}"/>
    <cellStyle name="Título 1 3" xfId="299" xr:uid="{00000000-0005-0000-0000-00002C010000}"/>
    <cellStyle name="Título 1 4" xfId="300" xr:uid="{00000000-0005-0000-0000-00002D010000}"/>
    <cellStyle name="Título 1 5" xfId="301" xr:uid="{00000000-0005-0000-0000-00002E010000}"/>
    <cellStyle name="Título 1 6" xfId="302" xr:uid="{00000000-0005-0000-0000-00002F010000}"/>
    <cellStyle name="Título 2 2" xfId="303" xr:uid="{00000000-0005-0000-0000-000030010000}"/>
    <cellStyle name="Título 2 3" xfId="304" xr:uid="{00000000-0005-0000-0000-000031010000}"/>
    <cellStyle name="Título 2 4" xfId="305" xr:uid="{00000000-0005-0000-0000-000032010000}"/>
    <cellStyle name="Título 2 5" xfId="306" xr:uid="{00000000-0005-0000-0000-000033010000}"/>
    <cellStyle name="Título 2 6" xfId="307" xr:uid="{00000000-0005-0000-0000-000034010000}"/>
    <cellStyle name="Título 3 2" xfId="308" xr:uid="{00000000-0005-0000-0000-000035010000}"/>
    <cellStyle name="Título 3 3" xfId="309" xr:uid="{00000000-0005-0000-0000-000036010000}"/>
    <cellStyle name="Título 3 4" xfId="310" xr:uid="{00000000-0005-0000-0000-000037010000}"/>
    <cellStyle name="Título 3 5" xfId="311" xr:uid="{00000000-0005-0000-0000-000038010000}"/>
    <cellStyle name="Título 3 6" xfId="312" xr:uid="{00000000-0005-0000-0000-000039010000}"/>
    <cellStyle name="Título 4" xfId="313" xr:uid="{00000000-0005-0000-0000-00003A010000}"/>
    <cellStyle name="Título 5" xfId="314" xr:uid="{00000000-0005-0000-0000-00003B010000}"/>
    <cellStyle name="Título 6" xfId="315" xr:uid="{00000000-0005-0000-0000-00003C010000}"/>
    <cellStyle name="Título 7" xfId="316" xr:uid="{00000000-0005-0000-0000-00003D010000}"/>
    <cellStyle name="Título 8" xfId="317" xr:uid="{00000000-0005-0000-0000-00003E010000}"/>
    <cellStyle name="Total 2" xfId="318" xr:uid="{00000000-0005-0000-0000-00003F010000}"/>
    <cellStyle name="Total 3" xfId="319" xr:uid="{00000000-0005-0000-0000-000040010000}"/>
    <cellStyle name="Total 4" xfId="320" xr:uid="{00000000-0005-0000-0000-000041010000}"/>
    <cellStyle name="Total 5" xfId="321" xr:uid="{00000000-0005-0000-0000-000042010000}"/>
    <cellStyle name="Total 6" xfId="322" xr:uid="{00000000-0005-0000-0000-000043010000}"/>
    <cellStyle name="Warning Text" xfId="323" xr:uid="{00000000-0005-0000-0000-00004401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3.xml"/><Relationship Id="rId55" Type="http://schemas.openxmlformats.org/officeDocument/2006/relationships/externalLink" Target="externalLinks/externalLink8.xml"/><Relationship Id="rId63" Type="http://schemas.openxmlformats.org/officeDocument/2006/relationships/externalLink" Target="externalLinks/externalLink16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6.xml"/><Relationship Id="rId58" Type="http://schemas.openxmlformats.org/officeDocument/2006/relationships/externalLink" Target="externalLinks/externalLink11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57" Type="http://schemas.openxmlformats.org/officeDocument/2006/relationships/externalLink" Target="externalLinks/externalLink10.xml"/><Relationship Id="rId61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5.xml"/><Relationship Id="rId60" Type="http://schemas.openxmlformats.org/officeDocument/2006/relationships/externalLink" Target="externalLinks/externalLink13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externalLink" Target="externalLinks/externalLink9.xml"/><Relationship Id="rId64" Type="http://schemas.openxmlformats.org/officeDocument/2006/relationships/externalLink" Target="externalLinks/externalLink1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2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7.xml"/><Relationship Id="rId62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Balance%20PEAS%202023_Def_FR_09.xlsx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Balance%20PEAS%202023_Def_FR_09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0%20(A&#241;o%208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0%20(A&#241;o%208)_FR_09.xlsm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1%20(A&#241;o%209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1%20(A&#241;o%209)_FR_09.xlsm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2%20(A&#241;o%2010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2%20(A&#241;o%2010)_FR_09.xlsm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3%20(A&#241;o%2011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3%20(A&#241;o%2011)_FR_09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4%20(A&#241;o%2012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4%20(A&#241;o%2012)_FR_09.xlsm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5%20(A&#241;o%2013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5%20(A&#241;o%2013)_FR_09.xlsm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6%20(A&#241;o%2014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6%20(A&#241;o%2014)_FR_09.xlsm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37%20(A&#241;o%2015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37%20(A&#241;o%2015)_FR_09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2%20(A&#241;o%200)_FR_09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3%20(A&#241;o%201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3%20(A&#241;o%201)_FR_09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4%20(A&#241;o%202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4%20(A&#241;o%202)_FR_09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5%20(A&#241;o%203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5%20(A&#241;o%203)_FR_09.xlsm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6%20(A&#241;o%204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6%20(A&#241;o%204)_FR_09.xlsm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7%20(A&#241;o%205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7%20(A&#241;o%205)_FR_09.xlsm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8%20(A&#241;o%206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8%20(A&#241;o%206)_FR_09.xlsm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9_2024\Anexo%207%20Red%20de%20recolecci&#243;n%20y%20conducciones%20de%20aguas%20servidas\Modelaci&#243;n%20AS_FR_09\Verif%20Colectores%20A&#241;o%202029%20(A&#241;o%207)_FR_09.xlsm" TargetMode="External"/><Relationship Id="rId1" Type="http://schemas.microsoft.com/office/2006/relationships/xlExternalLinkPath/xlAlternateStartup" Target="Dropbox/AGUAS%20DECIMA/PD%202023/PD%20A.D&#233;cima_09_2024/Anexo%207%20Red%20de%20recolecci&#243;n%20y%20conducciones%20de%20aguas%20servidas/Modelaci&#243;n%20AS_FR_09/Verif%20Colectores%20A&#241;o%202029%20(A&#241;o%207)_FR_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uadros 3-6 Demanda x PEAS"/>
      <sheetName val="Cuadro 4-32 aj Torreones"/>
      <sheetName val="Cuadro 4-31 aj Torreones"/>
      <sheetName val="Cuadro 4-32 ai Pelues"/>
      <sheetName val="Cuadro 4-31 ai Pelues"/>
      <sheetName val="Cuadro 4-32 ah Miraflores"/>
      <sheetName val="Cuadro 4-31 ah Miraflores"/>
      <sheetName val="Cuadro 4-32 ag Guacamayo"/>
      <sheetName val="Cuadro 4-31 ag Guacamayo"/>
      <sheetName val="Cuadro 4-32 af Guacamayo II"/>
      <sheetName val="Cuadro 4-31 af Guacamayo II"/>
      <sheetName val="Cuadro 4-32 ae Galilea"/>
      <sheetName val="Cuadro 4-31 ae Galilea"/>
      <sheetName val="Cuadro 4-32 ad Mahuiza"/>
      <sheetName val="Cuadro 4-31 ad Mahuiza"/>
      <sheetName val="Cuadro 4-32 ac Bosque Sur"/>
      <sheetName val="Cuadro 4-31 ac Bosque Sur"/>
      <sheetName val="Cuadro 4-32 ab S Martin"/>
      <sheetName val="Cuadro 4-31 ab S Martin"/>
      <sheetName val="Cuadro 4-32 aa CUT"/>
      <sheetName val="Cuadro 4-31 aa CUT"/>
      <sheetName val="Cuadro 4-32 z San Fco"/>
      <sheetName val="Cuadro 4-31 z San Fco"/>
      <sheetName val="Cuadro 4-32 y Austral"/>
      <sheetName val="Cuadro 4-31 y Austral"/>
      <sheetName val="Cuadro 4-32 x S Pablo"/>
      <sheetName val="Cuadro 4-31 x S Pablo"/>
      <sheetName val="Cuadro 4-32 w Valdivia Sur"/>
      <sheetName val="Cuadro 4-31 w Valdivia Sur"/>
      <sheetName val="Cuadro 4-32 v Conquistadores"/>
      <sheetName val="Cuadro 4-31 v Conquistadores"/>
      <sheetName val="Cuadro 4-32 u Meridien"/>
      <sheetName val="Cuadro 4-31 u Meridien"/>
      <sheetName val="Cuadro 4-32 t Simpson"/>
      <sheetName val="Cuadro 4-31 t Simpson"/>
      <sheetName val="Cuadro 4-32 s D Bosco"/>
      <sheetName val="Cuadro 4-31 s D Bosco"/>
      <sheetName val="Cuadro 4-32 r Ecuador"/>
      <sheetName val="Cuadro 4-31 r Ecuador"/>
      <sheetName val="Cuadro 4-32 q Balmaceda"/>
      <sheetName val="Cuadro 4-31 q Balmaceda"/>
      <sheetName val="Cuadro 4-32 p Chumpullo"/>
      <sheetName val="Cuadro 4-31 p Chumpullo"/>
      <sheetName val="Cuadro 4-32 o Bueras"/>
      <sheetName val="Cuadro 4-31 o Bueras"/>
      <sheetName val="Cuadro 4-32 n Bertoloto"/>
      <sheetName val="Cuadro 4-31 n Bertoloto"/>
      <sheetName val="Cuadro 4-32 m Sta Maria"/>
      <sheetName val="Cuadro 4-31 m Sta Maria"/>
      <sheetName val="Cuadro 4-32 l Calle Calle"/>
      <sheetName val="Cuadro 4-31 l Calle Calle"/>
      <sheetName val="Cuadro 4-32 k España"/>
      <sheetName val="Cuadro 4-31 k España"/>
      <sheetName val="Cuadro 4-32 j Jardin"/>
      <sheetName val="Cuadro 4-31 j Jardin"/>
      <sheetName val="Cuadro 4-32 i N Sedeño"/>
      <sheetName val="Cuadro 4-31 i N Sedeño"/>
      <sheetName val="Cuadro 4-32 h Bombero"/>
      <sheetName val="Cuadro 4-31 h Bombero"/>
      <sheetName val="Cuadro 4-32 g PAC"/>
      <sheetName val="Cuadro 4-31 g PAC"/>
      <sheetName val="Cuadro 4-32 f Brisas"/>
      <sheetName val="Cuadro 4-31 f Brisas"/>
      <sheetName val="Cuadro 4-32 e L Laureles"/>
      <sheetName val="Cuadro 4-31 e L Laureles"/>
      <sheetName val="Cuadro 4-32 d S Carlos"/>
      <sheetName val="Cuadro 4-31 d S Carlos"/>
      <sheetName val="Cuadro 4-32 c Janequeo"/>
      <sheetName val="Cuadro 4-31 c Janequeo"/>
      <sheetName val="Cuadro 4-32 b Carampangue"/>
      <sheetName val="Cuadro 4-31 b Carampangue"/>
      <sheetName val="Cuadro 4-32 a J Marti"/>
      <sheetName val="Cuadro 4-31 a J Marti"/>
      <sheetName val="OFERTA Q PEAS (NBI)"/>
      <sheetName val="Q x PEAS"/>
      <sheetName val="QmedioAS"/>
      <sheetName val="Población Saneada"/>
      <sheetName val="Impulsiones x PEAS"/>
      <sheetName val="1152-Conducción AS Tramo"/>
      <sheetName val="1152 (2)"/>
      <sheetName val="Aporte x PEAS"/>
      <sheetName val="Sectores a PEAS_2022"/>
      <sheetName val="Proyec Consumos AS"/>
      <sheetName val="Proyec Clientes AS"/>
      <sheetName val="Sectores_AS_2022"/>
      <sheetName val="Sectores a PEAS_2017"/>
      <sheetName val="Sectores_AS_2017"/>
      <sheetName val="D nom"/>
      <sheetName val="Balance PEAS 2023_Def_FR_09"/>
    </sheetNames>
    <sheetDataSet>
      <sheetData sheetId="0">
        <row r="540">
          <cell r="E540">
            <v>847.41444460736056</v>
          </cell>
          <cell r="I540">
            <v>1.2074542218654729</v>
          </cell>
          <cell r="K540">
            <v>5.1068710884812791</v>
          </cell>
        </row>
        <row r="541">
          <cell r="E541">
            <v>847.41444460736056</v>
          </cell>
          <cell r="I541">
            <v>1.2074542218654729</v>
          </cell>
          <cell r="K541">
            <v>5.1068710884812791</v>
          </cell>
        </row>
        <row r="542">
          <cell r="E542">
            <v>847.41444460736056</v>
          </cell>
          <cell r="I542">
            <v>1.2074542218654729</v>
          </cell>
          <cell r="K542">
            <v>5.1068710884812791</v>
          </cell>
        </row>
        <row r="543">
          <cell r="E543">
            <v>847.41444460736056</v>
          </cell>
          <cell r="I543">
            <v>1.2074542218654729</v>
          </cell>
          <cell r="K543">
            <v>5.1068710884812791</v>
          </cell>
        </row>
        <row r="544">
          <cell r="E544">
            <v>847.41444460736056</v>
          </cell>
          <cell r="I544">
            <v>1.2074542218654729</v>
          </cell>
          <cell r="K544">
            <v>5.1068710884812791</v>
          </cell>
        </row>
        <row r="545">
          <cell r="E545">
            <v>847.41444460736056</v>
          </cell>
          <cell r="I545">
            <v>1.2074542218654729</v>
          </cell>
          <cell r="K545">
            <v>5.1068710884812791</v>
          </cell>
        </row>
        <row r="546">
          <cell r="E546">
            <v>847.41444460736056</v>
          </cell>
          <cell r="I546">
            <v>1.2074542218654729</v>
          </cell>
          <cell r="K546">
            <v>5.1068710884812791</v>
          </cell>
        </row>
        <row r="547">
          <cell r="E547">
            <v>847.41444460736056</v>
          </cell>
          <cell r="I547">
            <v>1.2074542218654729</v>
          </cell>
          <cell r="K547">
            <v>5.1068710884812791</v>
          </cell>
        </row>
        <row r="548">
          <cell r="E548">
            <v>847.41444460736056</v>
          </cell>
          <cell r="I548">
            <v>1.2074542218654729</v>
          </cell>
          <cell r="K548">
            <v>5.1068710884812791</v>
          </cell>
        </row>
        <row r="549">
          <cell r="E549">
            <v>847.41444460736056</v>
          </cell>
          <cell r="I549">
            <v>1.2074542218654729</v>
          </cell>
          <cell r="K549">
            <v>5.1068710884812791</v>
          </cell>
        </row>
        <row r="550">
          <cell r="E550">
            <v>847.41444460736056</v>
          </cell>
          <cell r="I550">
            <v>1.2074542218654729</v>
          </cell>
          <cell r="K550">
            <v>5.1068710884812791</v>
          </cell>
        </row>
        <row r="551">
          <cell r="E551">
            <v>847.41444460736056</v>
          </cell>
          <cell r="I551">
            <v>1.2074542218654729</v>
          </cell>
          <cell r="K551">
            <v>5.1068710884812791</v>
          </cell>
        </row>
        <row r="552">
          <cell r="E552">
            <v>847.41444460736056</v>
          </cell>
          <cell r="I552">
            <v>1.2074542218654729</v>
          </cell>
          <cell r="K552">
            <v>5.1068710884812791</v>
          </cell>
        </row>
        <row r="553">
          <cell r="E553">
            <v>847.41444460736056</v>
          </cell>
          <cell r="I553">
            <v>1.2074542218654729</v>
          </cell>
          <cell r="K553">
            <v>5.1068710884812791</v>
          </cell>
        </row>
        <row r="554">
          <cell r="E554">
            <v>847.41444460736056</v>
          </cell>
          <cell r="I554">
            <v>1.2074542218654729</v>
          </cell>
          <cell r="K554">
            <v>5.1068710884812791</v>
          </cell>
        </row>
        <row r="555">
          <cell r="E555">
            <v>847.41444460736056</v>
          </cell>
          <cell r="I555">
            <v>1.2074542218654729</v>
          </cell>
          <cell r="K555">
            <v>5.1068710884812791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130">
          <cell r="C130" t="str">
            <v>PEAS JOSE MARTI</v>
          </cell>
        </row>
      </sheetData>
      <sheetData sheetId="75">
        <row r="6">
          <cell r="B6" t="str">
            <v>Barrios Bajos 1A</v>
          </cell>
        </row>
      </sheetData>
      <sheetData sheetId="76">
        <row r="6">
          <cell r="B6" t="str">
            <v>Barrios Bajos 1A</v>
          </cell>
        </row>
      </sheetData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0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71.117531855470119</v>
          </cell>
          <cell r="V19">
            <v>38162.497333826526</v>
          </cell>
          <cell r="AB19">
            <v>345.98659501674888</v>
          </cell>
        </row>
        <row r="25">
          <cell r="U25">
            <v>78.094439778049832</v>
          </cell>
          <cell r="V25">
            <v>42362.783804272272</v>
          </cell>
          <cell r="AB25">
            <v>360.57157309815159</v>
          </cell>
        </row>
        <row r="41">
          <cell r="U41">
            <v>97.378103360479386</v>
          </cell>
          <cell r="V41">
            <v>52092.243875820568</v>
          </cell>
          <cell r="AA41">
            <v>162.81823194705908</v>
          </cell>
          <cell r="AB41">
            <v>401.20473709794049</v>
          </cell>
        </row>
      </sheetData>
      <sheetData sheetId="3">
        <row r="23">
          <cell r="AB23">
            <v>306.74133390098041</v>
          </cell>
        </row>
        <row r="26">
          <cell r="U26">
            <v>59.519046038907106</v>
          </cell>
          <cell r="V26">
            <v>31505.836677012347</v>
          </cell>
          <cell r="AA26">
            <v>148.63730503739262</v>
          </cell>
          <cell r="AB26">
            <v>306.74133390098041</v>
          </cell>
        </row>
      </sheetData>
      <sheetData sheetId="4">
        <row r="20">
          <cell r="U20">
            <v>37.048723555233863</v>
          </cell>
          <cell r="V20">
            <v>19429.992115133609</v>
          </cell>
          <cell r="AA20">
            <v>140.40292970379261</v>
          </cell>
          <cell r="AB20">
            <v>246.55091174074283</v>
          </cell>
        </row>
      </sheetData>
      <sheetData sheetId="5">
        <row r="24">
          <cell r="U24">
            <v>2.6985814590365735</v>
          </cell>
          <cell r="V24">
            <v>1493.5433696441269</v>
          </cell>
          <cell r="AA24">
            <v>44.637211619509038</v>
          </cell>
          <cell r="AB24">
            <v>55.110165188348489</v>
          </cell>
        </row>
        <row r="42">
          <cell r="U42">
            <v>5.3971629180731471</v>
          </cell>
          <cell r="V42">
            <v>2987.0867392882537</v>
          </cell>
          <cell r="AA42">
            <v>89.274423239018077</v>
          </cell>
          <cell r="AB42">
            <v>108.94167383355907</v>
          </cell>
        </row>
      </sheetData>
      <sheetData sheetId="6">
        <row r="17">
          <cell r="U17">
            <v>2.6797742202993224</v>
          </cell>
          <cell r="V17">
            <v>1456.0440741365628</v>
          </cell>
          <cell r="AA17">
            <v>54.255513424088193</v>
          </cell>
        </row>
        <row r="19">
          <cell r="AB19">
            <v>64.676781577402522</v>
          </cell>
        </row>
      </sheetData>
      <sheetData sheetId="7">
        <row r="48">
          <cell r="U48">
            <v>26.830723668745016</v>
          </cell>
          <cell r="V48">
            <v>13862.953844924938</v>
          </cell>
          <cell r="AA48">
            <v>6.4912948452654771</v>
          </cell>
          <cell r="AB48">
            <v>87.324133679897145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5.4159701568103991</v>
          </cell>
          <cell r="V25">
            <v>3024.5860347958183</v>
          </cell>
          <cell r="AA25">
            <v>79.65612143443893</v>
          </cell>
          <cell r="AB25">
            <v>99.36696287692294</v>
          </cell>
        </row>
      </sheetData>
      <sheetData sheetId="10">
        <row r="17">
          <cell r="P17">
            <v>22.684208882046534</v>
          </cell>
          <cell r="Q17">
            <v>8430.9130385434983</v>
          </cell>
        </row>
        <row r="37">
          <cell r="AB37">
            <v>73.222957677397901</v>
          </cell>
        </row>
      </sheetData>
      <sheetData sheetId="11">
        <row r="22">
          <cell r="U22">
            <v>22.470322483673243</v>
          </cell>
          <cell r="V22">
            <v>12075.844561878735</v>
          </cell>
          <cell r="AA22">
            <v>8.2343753336000063</v>
          </cell>
          <cell r="AB22">
            <v>77.283469371221344</v>
          </cell>
        </row>
      </sheetData>
      <sheetData sheetId="12">
        <row r="30">
          <cell r="U30">
            <v>19.792187986602972</v>
          </cell>
          <cell r="V30">
            <v>10905.866542042733</v>
          </cell>
          <cell r="AA30">
            <v>8.2343753336000063</v>
          </cell>
          <cell r="AB30">
            <v>69.930130247322268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4.4247810529297578</v>
          </cell>
        </row>
      </sheetData>
      <sheetData sheetId="15">
        <row r="21">
          <cell r="U21">
            <v>46.31501100262161</v>
          </cell>
          <cell r="V21">
            <v>18466.701515134082</v>
          </cell>
          <cell r="AA21">
            <v>338.48007269001056</v>
          </cell>
          <cell r="AB21">
            <v>472.20530654972691</v>
          </cell>
        </row>
      </sheetData>
      <sheetData sheetId="16">
        <row r="18">
          <cell r="AB18">
            <v>69.471505322091772</v>
          </cell>
        </row>
        <row r="28">
          <cell r="U28">
            <v>1.1537283103751419</v>
          </cell>
          <cell r="V28">
            <v>498.20492602906677</v>
          </cell>
          <cell r="Y28">
            <v>5.9007078060257125</v>
          </cell>
          <cell r="AA28">
            <v>117.96401661916173</v>
          </cell>
          <cell r="AB28">
            <v>124.09547008726247</v>
          </cell>
        </row>
        <row r="35">
          <cell r="U35">
            <v>8.9247102160868472</v>
          </cell>
          <cell r="V35">
            <v>4047.0894528704998</v>
          </cell>
          <cell r="AA35">
            <v>216.82305558040929</v>
          </cell>
          <cell r="AB35">
            <v>248.31637218409486</v>
          </cell>
        </row>
        <row r="40">
          <cell r="U40">
            <v>30.338306398553353</v>
          </cell>
          <cell r="V40">
            <v>11812.657848265502</v>
          </cell>
          <cell r="AA40">
            <v>221.3743947618031</v>
          </cell>
          <cell r="AB40">
            <v>314.89194974056517</v>
          </cell>
        </row>
        <row r="50">
          <cell r="U50">
            <v>44.13083663520645</v>
          </cell>
          <cell r="V50">
            <v>17769.21461869339</v>
          </cell>
          <cell r="AA50">
            <v>338.48007269001056</v>
          </cell>
          <cell r="AB50">
            <v>466.64158589832914</v>
          </cell>
        </row>
        <row r="85">
          <cell r="AA85">
            <v>89.272804784491512</v>
          </cell>
        </row>
      </sheetData>
      <sheetData sheetId="17">
        <row r="18">
          <cell r="U18">
            <v>3.6890198853472729</v>
          </cell>
          <cell r="V18">
            <v>1060.6943586425291</v>
          </cell>
          <cell r="AB18">
            <v>14.694677429469984</v>
          </cell>
        </row>
        <row r="32">
          <cell r="AB32">
            <v>14.694677429469984</v>
          </cell>
        </row>
        <row r="47">
          <cell r="U47">
            <v>12.324905370133905</v>
          </cell>
          <cell r="V47">
            <v>4380.9891237265674</v>
          </cell>
          <cell r="AA47">
            <v>17.209227684686951</v>
          </cell>
          <cell r="AB47">
            <v>60.317901958993041</v>
          </cell>
        </row>
        <row r="57">
          <cell r="U57">
            <v>4.4618468961356843</v>
          </cell>
          <cell r="V57">
            <v>1115.3361892392657</v>
          </cell>
          <cell r="AA57">
            <v>55.829448216522813</v>
          </cell>
          <cell r="AB57">
            <v>73.538230463305553</v>
          </cell>
        </row>
      </sheetData>
      <sheetData sheetId="18">
        <row r="18">
          <cell r="U18">
            <v>1.5258596013503205</v>
          </cell>
          <cell r="V18">
            <v>665.34464314849561</v>
          </cell>
          <cell r="Y18">
            <v>6.8128418277693994</v>
          </cell>
          <cell r="AA18">
            <v>7.1575908342478307</v>
          </cell>
          <cell r="AB18">
            <v>14.275604582287293</v>
          </cell>
        </row>
        <row r="23">
          <cell r="U23">
            <v>13.19586366938322</v>
          </cell>
          <cell r="V23">
            <v>7235.2212160737381</v>
          </cell>
          <cell r="AA23">
            <v>7.1575908342478307</v>
          </cell>
          <cell r="AB23">
            <v>50.607963900139225</v>
          </cell>
        </row>
      </sheetData>
      <sheetData sheetId="19">
        <row r="29">
          <cell r="U29">
            <v>11.670004068032899</v>
          </cell>
          <cell r="V29">
            <v>6569.8765729252427</v>
          </cell>
          <cell r="AB29">
            <v>38.897445328085993</v>
          </cell>
        </row>
      </sheetData>
      <sheetData sheetId="20">
        <row r="22">
          <cell r="U22">
            <v>21.413596182466506</v>
          </cell>
          <cell r="V22">
            <v>7765.5683953950029</v>
          </cell>
          <cell r="AA22">
            <v>4.5513391813938213</v>
          </cell>
          <cell r="AB22">
            <v>74.421017939618594</v>
          </cell>
        </row>
      </sheetData>
      <sheetData sheetId="21">
        <row r="17">
          <cell r="AA17">
            <v>4.5513391813938213</v>
          </cell>
        </row>
        <row r="19">
          <cell r="AB19">
            <v>4.5513391813938213</v>
          </cell>
        </row>
        <row r="30">
          <cell r="U30">
            <v>12.552342773718591</v>
          </cell>
          <cell r="V30">
            <v>3715.6444805780725</v>
          </cell>
          <cell r="AB30">
            <v>49.260681637258159</v>
          </cell>
        </row>
      </sheetData>
      <sheetData sheetId="22">
        <row r="23">
          <cell r="U23">
            <v>5.2411279579801953</v>
          </cell>
          <cell r="V23">
            <v>2454.0610388593068</v>
          </cell>
          <cell r="AA23">
            <v>98.859038961247549</v>
          </cell>
          <cell r="AB23">
            <v>118.32996216666433</v>
          </cell>
        </row>
        <row r="36">
          <cell r="U36">
            <v>6.8586104278764051</v>
          </cell>
          <cell r="V36">
            <v>3066.3709640756765</v>
          </cell>
          <cell r="AB36">
            <v>123.78538646608288</v>
          </cell>
        </row>
      </sheetData>
      <sheetData sheetId="23">
        <row r="18">
          <cell r="AB18">
            <v>98.381387596703348</v>
          </cell>
        </row>
        <row r="27">
          <cell r="U27">
            <v>4.7019671346814578</v>
          </cell>
          <cell r="V27">
            <v>2249.9577304538502</v>
          </cell>
          <cell r="AA27">
            <v>80.770352758150636</v>
          </cell>
          <cell r="AB27">
            <v>98.381387596703348</v>
          </cell>
        </row>
        <row r="33">
          <cell r="AB33">
            <v>18.088686203096913</v>
          </cell>
        </row>
      </sheetData>
      <sheetData sheetId="24">
        <row r="25">
          <cell r="U25">
            <v>3.0603667028425789</v>
          </cell>
          <cell r="V25">
            <v>1300.7980229920836</v>
          </cell>
          <cell r="AA25">
            <v>55.499820903241122</v>
          </cell>
          <cell r="AB25">
            <v>67.507038252272935</v>
          </cell>
        </row>
        <row r="29">
          <cell r="U29">
            <v>4.6288909676069272</v>
          </cell>
          <cell r="V29">
            <v>1782.9318223750515</v>
          </cell>
          <cell r="AA29">
            <v>66.229269573587757</v>
          </cell>
          <cell r="AB29">
            <v>83.93037891629632</v>
          </cell>
        </row>
        <row r="33">
          <cell r="U33">
            <v>7.2443779946720213</v>
          </cell>
          <cell r="V33">
            <v>3001.1232221493501</v>
          </cell>
          <cell r="AA33">
            <v>66.229269573587757</v>
          </cell>
          <cell r="AB33">
            <v>92.615240672435007</v>
          </cell>
        </row>
      </sheetData>
      <sheetData sheetId="25">
        <row r="29">
          <cell r="U29">
            <v>1.5685242647643485</v>
          </cell>
          <cell r="V29">
            <v>482.13379938296788</v>
          </cell>
          <cell r="Y29">
            <v>7.3205086765644376</v>
          </cell>
          <cell r="AA29">
            <v>10.729448670346638</v>
          </cell>
          <cell r="AB29">
            <v>18.363662199863946</v>
          </cell>
        </row>
      </sheetData>
      <sheetData sheetId="26">
        <row r="17">
          <cell r="AA17">
            <v>24.77170610891849</v>
          </cell>
        </row>
        <row r="33">
          <cell r="U33">
            <v>2.1618720537092937</v>
          </cell>
          <cell r="V33">
            <v>993.19562672891368</v>
          </cell>
          <cell r="Y33">
            <v>8.2360777791545932</v>
          </cell>
          <cell r="AB33">
            <v>33.440158298814943</v>
          </cell>
        </row>
      </sheetData>
      <sheetData sheetId="27">
        <row r="18">
          <cell r="AB18">
            <v>14.076677125388361</v>
          </cell>
        </row>
        <row r="31">
          <cell r="U31">
            <v>3.3365832806408449</v>
          </cell>
          <cell r="V31">
            <v>2163.1736465649155</v>
          </cell>
          <cell r="AA31">
            <v>14.076677125388361</v>
          </cell>
          <cell r="AB31">
            <v>26.619071473020206</v>
          </cell>
        </row>
      </sheetData>
      <sheetData sheetId="28">
        <row r="47">
          <cell r="U47">
            <v>8.6755988082575435</v>
          </cell>
          <cell r="V47">
            <v>4598.0632307335054</v>
          </cell>
          <cell r="AA47">
            <v>2.9439285038424288</v>
          </cell>
          <cell r="AB47">
            <v>33.122268369598714</v>
          </cell>
        </row>
      </sheetData>
      <sheetData sheetId="29">
        <row r="38">
          <cell r="U38">
            <v>12.198346640868754</v>
          </cell>
          <cell r="V38">
            <v>5429.4238164358449</v>
          </cell>
          <cell r="AA38">
            <v>89.272804784491512</v>
          </cell>
          <cell r="AB38">
            <v>130.88930740055255</v>
          </cell>
        </row>
      </sheetData>
      <sheetData sheetId="30">
        <row r="32">
          <cell r="U32">
            <v>3.7112113835445242</v>
          </cell>
          <cell r="V32">
            <v>1211.7629491158593</v>
          </cell>
          <cell r="AA32">
            <v>87.168736543116523</v>
          </cell>
          <cell r="AB32">
            <v>101.80822939058582</v>
          </cell>
        </row>
      </sheetData>
      <sheetData sheetId="31">
        <row r="17">
          <cell r="P17">
            <v>0.11173330343610555</v>
          </cell>
          <cell r="Q17">
            <v>63.64166151855175</v>
          </cell>
          <cell r="Y17">
            <v>2.8088066812518746</v>
          </cell>
          <cell r="AA17">
            <v>26.024363222783649</v>
          </cell>
        </row>
        <row r="23">
          <cell r="AB23">
            <v>28.855516564722745</v>
          </cell>
        </row>
        <row r="35">
          <cell r="U35">
            <v>5.954278999312038</v>
          </cell>
          <cell r="V35">
            <v>2947.444626894543</v>
          </cell>
          <cell r="AB35">
            <v>47.751034193551099</v>
          </cell>
        </row>
      </sheetData>
      <sheetData sheetId="32">
        <row r="29">
          <cell r="AB29">
            <v>21.692487830985733</v>
          </cell>
        </row>
        <row r="36">
          <cell r="AB36">
            <v>29.401915621300198</v>
          </cell>
        </row>
      </sheetData>
      <sheetData sheetId="33">
        <row r="18">
          <cell r="AB18">
            <v>9.8972282935125726</v>
          </cell>
        </row>
        <row r="30">
          <cell r="U30">
            <v>10.045702894797552</v>
          </cell>
          <cell r="V30">
            <v>5920.6030564228449</v>
          </cell>
          <cell r="AA30">
            <v>36.333045386272218</v>
          </cell>
          <cell r="AB30">
            <v>70.249358725294883</v>
          </cell>
        </row>
      </sheetData>
      <sheetData sheetId="3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1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72.620877821057661</v>
          </cell>
          <cell r="V19">
            <v>38463.608711528555</v>
          </cell>
          <cell r="AB19">
            <v>352.76931690518325</v>
          </cell>
        </row>
        <row r="25">
          <cell r="U25">
            <v>79.711583769381519</v>
          </cell>
          <cell r="V25">
            <v>42690.017031467527</v>
          </cell>
          <cell r="AB25">
            <v>367.56253517114743</v>
          </cell>
        </row>
        <row r="41">
          <cell r="U41">
            <v>99.402882671710927</v>
          </cell>
          <cell r="V41">
            <v>52496.244907303197</v>
          </cell>
          <cell r="AA41">
            <v>165.96714796976141</v>
          </cell>
          <cell r="AB41">
            <v>409.00225127945549</v>
          </cell>
        </row>
      </sheetData>
      <sheetData sheetId="3">
        <row r="23">
          <cell r="AB23">
            <v>312.73973659264618</v>
          </cell>
        </row>
        <row r="26">
          <cell r="U26">
            <v>60.777212842559017</v>
          </cell>
          <cell r="V26">
            <v>31754.425384519742</v>
          </cell>
          <cell r="AA26">
            <v>151.49659090626622</v>
          </cell>
          <cell r="AB26">
            <v>312.73973659264618</v>
          </cell>
        </row>
      </sheetData>
      <sheetData sheetId="4">
        <row r="20">
          <cell r="U20">
            <v>37.831892594341127</v>
          </cell>
          <cell r="V20">
            <v>19583.299474538038</v>
          </cell>
          <cell r="AA20">
            <v>143.22475377963406</v>
          </cell>
          <cell r="AB20">
            <v>251.48682305277202</v>
          </cell>
        </row>
      </sheetData>
      <sheetData sheetId="5">
        <row r="24">
          <cell r="U24">
            <v>2.7556264863794326</v>
          </cell>
          <cell r="V24">
            <v>1505.3277897714927</v>
          </cell>
          <cell r="AA24">
            <v>45.533662663138053</v>
          </cell>
          <cell r="AB24">
            <v>56.221201896698417</v>
          </cell>
        </row>
        <row r="42">
          <cell r="U42">
            <v>5.5112529727588653</v>
          </cell>
          <cell r="V42">
            <v>3010.6555795429854</v>
          </cell>
          <cell r="AA42">
            <v>91.067325326276105</v>
          </cell>
          <cell r="AB42">
            <v>111.1343375739503</v>
          </cell>
        </row>
      </sheetData>
      <sheetData sheetId="6">
        <row r="17">
          <cell r="U17">
            <v>2.7364216834165704</v>
          </cell>
          <cell r="V17">
            <v>1467.5326157097982</v>
          </cell>
          <cell r="AA17">
            <v>55.342448550275279</v>
          </cell>
        </row>
        <row r="19">
          <cell r="AB19">
            <v>65.977302850065939</v>
          </cell>
        </row>
      </sheetData>
      <sheetData sheetId="7">
        <row r="48">
          <cell r="U48">
            <v>27.397895491625132</v>
          </cell>
          <cell r="V48">
            <v>13972.335919550464</v>
          </cell>
          <cell r="AA48">
            <v>6.6237657902198928</v>
          </cell>
          <cell r="AB48">
            <v>89.071229994637193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5.5304577757217288</v>
          </cell>
          <cell r="V25">
            <v>3048.4507536046804</v>
          </cell>
          <cell r="AA25">
            <v>81.258539439138886</v>
          </cell>
          <cell r="AB25">
            <v>101.36996879668706</v>
          </cell>
        </row>
      </sheetData>
      <sheetData sheetId="10">
        <row r="17">
          <cell r="P17">
            <v>23.163727968488878</v>
          </cell>
          <cell r="Q17">
            <v>8497.4349911849913</v>
          </cell>
        </row>
        <row r="37">
          <cell r="AB37">
            <v>74.693147805806674</v>
          </cell>
        </row>
      </sheetData>
      <sheetData sheetId="11">
        <row r="22">
          <cell r="U22">
            <v>22.94532024821789</v>
          </cell>
          <cell r="V22">
            <v>12171.125909981703</v>
          </cell>
          <cell r="AA22">
            <v>8.2718371266321746</v>
          </cell>
          <cell r="AB22">
            <v>78.702035068690705</v>
          </cell>
        </row>
      </sheetData>
      <sheetData sheetId="12">
        <row r="30">
          <cell r="U30">
            <v>20.210572949965854</v>
          </cell>
          <cell r="V30">
            <v>10991.916479256832</v>
          </cell>
          <cell r="AA30">
            <v>8.2718371266321746</v>
          </cell>
          <cell r="AB30">
            <v>71.202900687731372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4.4622428459619261</v>
          </cell>
        </row>
      </sheetData>
      <sheetData sheetId="15">
        <row r="21">
          <cell r="U21">
            <v>47.119636072609154</v>
          </cell>
          <cell r="V21">
            <v>18582.474566528828</v>
          </cell>
          <cell r="AA21">
            <v>344.82085918867011</v>
          </cell>
          <cell r="AB21">
            <v>480.74062110972216</v>
          </cell>
        </row>
      </sheetData>
      <sheetData sheetId="16">
        <row r="18">
          <cell r="AB18">
            <v>70.870863659376113</v>
          </cell>
        </row>
        <row r="28">
          <cell r="U28">
            <v>1.1781168508029995</v>
          </cell>
          <cell r="V28">
            <v>502.13588396251373</v>
          </cell>
          <cell r="Y28">
            <v>5.9751050919248563</v>
          </cell>
          <cell r="AA28">
            <v>120.33717502797202</v>
          </cell>
          <cell r="AB28">
            <v>126.54790349005748</v>
          </cell>
        </row>
        <row r="35">
          <cell r="U35">
            <v>9.0940821951587658</v>
          </cell>
          <cell r="V35">
            <v>4075.2148228588394</v>
          </cell>
          <cell r="AA35">
            <v>220.7698249402689</v>
          </cell>
          <cell r="AB35">
            <v>252.83626328846893</v>
          </cell>
        </row>
        <row r="40">
          <cell r="U40">
            <v>30.96033811692914</v>
          </cell>
          <cell r="V40">
            <v>11902.055439977763</v>
          </cell>
          <cell r="AA40">
            <v>225.35358323457555</v>
          </cell>
          <cell r="AB40">
            <v>320.68699329908952</v>
          </cell>
        </row>
        <row r="50">
          <cell r="U50">
            <v>44.889290674820408</v>
          </cell>
          <cell r="V50">
            <v>17879.484328981311</v>
          </cell>
          <cell r="AA50">
            <v>344.82085918867011</v>
          </cell>
          <cell r="AB50">
            <v>475.06361028399641</v>
          </cell>
        </row>
        <row r="85">
          <cell r="AA85">
            <v>91.053864162110557</v>
          </cell>
        </row>
      </sheetData>
      <sheetData sheetId="17">
        <row r="18">
          <cell r="U18">
            <v>3.7670016855717194</v>
          </cell>
          <cell r="V18">
            <v>1069.0634948879324</v>
          </cell>
          <cell r="AB18">
            <v>14.996860552229297</v>
          </cell>
        </row>
        <row r="32">
          <cell r="AB32">
            <v>14.996860552229297</v>
          </cell>
        </row>
        <row r="47">
          <cell r="U47">
            <v>12.585440237993126</v>
          </cell>
          <cell r="V47">
            <v>4415.5561925219754</v>
          </cell>
          <cell r="AA47">
            <v>17.489110966446745</v>
          </cell>
          <cell r="AB47">
            <v>61.469995333041247</v>
          </cell>
        </row>
        <row r="57">
          <cell r="U57">
            <v>4.5561654046014555</v>
          </cell>
          <cell r="V57">
            <v>1124.1364628064016</v>
          </cell>
          <cell r="AA57">
            <v>56.956580826620467</v>
          </cell>
          <cell r="AB57">
            <v>75.029340236544414</v>
          </cell>
        </row>
      </sheetData>
      <sheetData sheetId="18">
        <row r="18">
          <cell r="U18">
            <v>1.5581145856825216</v>
          </cell>
          <cell r="V18">
            <v>670.59437406606673</v>
          </cell>
          <cell r="Y18">
            <v>6.9153024032856028</v>
          </cell>
          <cell r="AA18">
            <v>7.3047576892771362</v>
          </cell>
          <cell r="AB18">
            <v>14.531683009699243</v>
          </cell>
        </row>
        <row r="23">
          <cell r="U23">
            <v>13.474809632386069</v>
          </cell>
          <cell r="V23">
            <v>7292.3088696749583</v>
          </cell>
          <cell r="AA23">
            <v>7.3047576892771362</v>
          </cell>
          <cell r="AB23">
            <v>51.629051310949464</v>
          </cell>
        </row>
      </sheetData>
      <sheetData sheetId="19">
        <row r="29">
          <cell r="U29">
            <v>11.916695046703548</v>
          </cell>
          <cell r="V29">
            <v>6621.7144956088914</v>
          </cell>
          <cell r="AB29">
            <v>39.680666582451842</v>
          </cell>
        </row>
      </sheetData>
      <sheetData sheetId="20">
        <row r="22">
          <cell r="U22">
            <v>21.866255921770374</v>
          </cell>
          <cell r="V22">
            <v>7826.8406171189235</v>
          </cell>
          <cell r="AA22">
            <v>4.5837582943066568</v>
          </cell>
          <cell r="AB22">
            <v>75.857596733500827</v>
          </cell>
        </row>
      </sheetData>
      <sheetData sheetId="21">
        <row r="17">
          <cell r="AA17">
            <v>4.5837582943066568</v>
          </cell>
        </row>
        <row r="19">
          <cell r="AB19">
            <v>4.5837582943066568</v>
          </cell>
        </row>
        <row r="30">
          <cell r="U30">
            <v>12.817685416737916</v>
          </cell>
          <cell r="V30">
            <v>3744.961818455909</v>
          </cell>
          <cell r="AB30">
            <v>50.199494643908395</v>
          </cell>
        </row>
      </sheetData>
      <sheetData sheetId="22">
        <row r="23">
          <cell r="U23">
            <v>5.3519196061882655</v>
          </cell>
          <cell r="V23">
            <v>2473.4241768088987</v>
          </cell>
          <cell r="AA23">
            <v>100.4326499122969</v>
          </cell>
          <cell r="AB23">
            <v>120.30026868401717</v>
          </cell>
        </row>
        <row r="36">
          <cell r="U36">
            <v>7.0035938665204656</v>
          </cell>
          <cell r="V36">
            <v>3090.5653761305693</v>
          </cell>
          <cell r="AB36">
            <v>125.8654980621028</v>
          </cell>
        </row>
      </sheetData>
      <sheetData sheetId="23">
        <row r="18">
          <cell r="AB18">
            <v>99.942598065348037</v>
          </cell>
        </row>
        <row r="27">
          <cell r="U27">
            <v>4.8013615194108654</v>
          </cell>
          <cell r="V27">
            <v>2267.7104437016751</v>
          </cell>
          <cell r="AA27">
            <v>81.972395244664796</v>
          </cell>
          <cell r="AB27">
            <v>99.942598065348037</v>
          </cell>
        </row>
        <row r="33">
          <cell r="AB33">
            <v>18.460254667632096</v>
          </cell>
        </row>
      </sheetData>
      <sheetData sheetId="24">
        <row r="25">
          <cell r="U25">
            <v>3.1060662869713598</v>
          </cell>
          <cell r="V25">
            <v>1308.6345778400523</v>
          </cell>
          <cell r="AA25">
            <v>56.275412646673793</v>
          </cell>
          <cell r="AB25">
            <v>68.456289149589566</v>
          </cell>
        </row>
        <row r="29">
          <cell r="U29">
            <v>4.7077474198642557</v>
          </cell>
          <cell r="V29">
            <v>1794.5725300618399</v>
          </cell>
          <cell r="AA29">
            <v>67.189488196916741</v>
          </cell>
          <cell r="AB29">
            <v>85.182080378083668</v>
          </cell>
        </row>
        <row r="33">
          <cell r="U33">
            <v>7.3785229498849301</v>
          </cell>
          <cell r="V33">
            <v>3022.3757560088898</v>
          </cell>
          <cell r="AA33">
            <v>67.189488196916741</v>
          </cell>
          <cell r="AB33">
            <v>94.04482315493081</v>
          </cell>
        </row>
      </sheetData>
      <sheetData sheetId="25">
        <row r="29">
          <cell r="U29">
            <v>1.6016811328928962</v>
          </cell>
          <cell r="V29">
            <v>485.9379522217875</v>
          </cell>
          <cell r="Y29">
            <v>7.4272316631927984</v>
          </cell>
          <cell r="AA29">
            <v>10.91407555024295</v>
          </cell>
          <cell r="AB29">
            <v>18.661643440014327</v>
          </cell>
        </row>
      </sheetData>
      <sheetData sheetId="26">
        <row r="17">
          <cell r="AA17">
            <v>25.272547160090735</v>
          </cell>
        </row>
        <row r="33">
          <cell r="U33">
            <v>2.2075716378380745</v>
          </cell>
          <cell r="V33">
            <v>1001.0321815768822</v>
          </cell>
          <cell r="AB33">
            <v>34.102195929671112</v>
          </cell>
        </row>
      </sheetData>
      <sheetData sheetId="27">
        <row r="18">
          <cell r="AB18">
            <v>14.363425574876382</v>
          </cell>
        </row>
        <row r="31">
          <cell r="U31">
            <v>3.4071149608458344</v>
          </cell>
          <cell r="V31">
            <v>2180.2416123017533</v>
          </cell>
          <cell r="AA31">
            <v>14.363425574876382</v>
          </cell>
          <cell r="AB31">
            <v>27.161732713785607</v>
          </cell>
        </row>
      </sheetData>
      <sheetData sheetId="28">
        <row r="47">
          <cell r="U47">
            <v>8.754027729148838</v>
          </cell>
          <cell r="V47">
            <v>4611.048072423343</v>
          </cell>
          <cell r="AA47">
            <v>2.9580769273312164</v>
          </cell>
          <cell r="AB47">
            <v>33.399417001654911</v>
          </cell>
        </row>
      </sheetData>
      <sheetData sheetId="29">
        <row r="38">
          <cell r="U38">
            <v>12.301069684100495</v>
          </cell>
          <cell r="V38">
            <v>5446.1367279077258</v>
          </cell>
          <cell r="AA38">
            <v>91.053864162110557</v>
          </cell>
          <cell r="AB38">
            <v>133.0054292997693</v>
          </cell>
        </row>
      </sheetData>
      <sheetData sheetId="30">
        <row r="32">
          <cell r="U32">
            <v>3.7896622874964878</v>
          </cell>
          <cell r="V32">
            <v>1221.3240532507593</v>
          </cell>
          <cell r="AA32">
            <v>88.921833959266422</v>
          </cell>
          <cell r="AB32">
            <v>103.86195873608499</v>
          </cell>
        </row>
      </sheetData>
      <sheetData sheetId="31">
        <row r="17">
          <cell r="P17">
            <v>0.11409522189080958</v>
          </cell>
          <cell r="Q17">
            <v>64.143809693275941</v>
          </cell>
          <cell r="Y17">
            <v>2.8222355825648915</v>
          </cell>
          <cell r="AA17">
            <v>26.55156143920815</v>
          </cell>
        </row>
        <row r="23">
          <cell r="AB23">
            <v>29.396616066151203</v>
          </cell>
        </row>
        <row r="35">
          <cell r="U35">
            <v>6.0801458717702914</v>
          </cell>
          <cell r="V35">
            <v>2970.7006812491936</v>
          </cell>
          <cell r="AB35">
            <v>48.719924895023155</v>
          </cell>
        </row>
      </sheetData>
      <sheetData sheetId="32">
        <row r="29">
          <cell r="AB29">
            <v>22.088154804797366</v>
          </cell>
        </row>
        <row r="36">
          <cell r="AB36">
            <v>29.944226230728248</v>
          </cell>
        </row>
      </sheetData>
      <sheetData sheetId="33">
        <row r="18">
          <cell r="AB18">
            <v>10.100491706078754</v>
          </cell>
        </row>
        <row r="30">
          <cell r="U30">
            <v>10.258057943185289</v>
          </cell>
          <cell r="V30">
            <v>5967.3180532835495</v>
          </cell>
          <cell r="AA30">
            <v>37.072889073178743</v>
          </cell>
          <cell r="AB30">
            <v>71.672960349320078</v>
          </cell>
        </row>
      </sheetData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74.143860770563919</v>
          </cell>
          <cell r="V19">
            <v>38766.31749706986</v>
          </cell>
          <cell r="AB19">
            <v>359.63168250293143</v>
          </cell>
        </row>
        <row r="25">
          <cell r="U25">
            <v>81.349851195557179</v>
          </cell>
          <cell r="V25">
            <v>43018.986243952953</v>
          </cell>
          <cell r="AB25">
            <v>374.63567526914051</v>
          </cell>
        </row>
        <row r="41">
          <cell r="U41">
            <v>101.45411002596367</v>
          </cell>
          <cell r="V41">
            <v>52902.389180332175</v>
          </cell>
          <cell r="AA41">
            <v>169.1542942795954</v>
          </cell>
          <cell r="AB41">
            <v>416.89113468656853</v>
          </cell>
        </row>
      </sheetData>
      <sheetData sheetId="3">
        <row r="23">
          <cell r="AB23">
            <v>318.80867941444922</v>
          </cell>
        </row>
        <row r="26">
          <cell r="U26">
            <v>62.051814054428291</v>
          </cell>
          <cell r="V26">
            <v>32004.332865011263</v>
          </cell>
          <cell r="AA26">
            <v>154.39060960029599</v>
          </cell>
          <cell r="AB26">
            <v>318.80867941444922</v>
          </cell>
        </row>
      </sheetData>
      <sheetData sheetId="4">
        <row r="20">
          <cell r="U20">
            <v>38.625291532738792</v>
          </cell>
          <cell r="V20">
            <v>19737.42013558387</v>
          </cell>
          <cell r="AA20">
            <v>146.08062397291133</v>
          </cell>
          <cell r="AB20">
            <v>256.48101201711222</v>
          </cell>
        </row>
      </sheetData>
      <sheetData sheetId="5">
        <row r="24">
          <cell r="U24">
            <v>2.813416646453025</v>
          </cell>
          <cell r="V24">
            <v>1517.1747267165101</v>
          </cell>
          <cell r="AA24">
            <v>46.440557403633342</v>
          </cell>
          <cell r="AB24">
            <v>57.345292143552498</v>
          </cell>
        </row>
        <row r="42">
          <cell r="U42">
            <v>5.6268332929060501</v>
          </cell>
          <cell r="V42">
            <v>3034.3494534330202</v>
          </cell>
          <cell r="AA42">
            <v>92.881114807266684</v>
          </cell>
          <cell r="AB42">
            <v>113.3526653265873</v>
          </cell>
        </row>
      </sheetData>
      <sheetData sheetId="6">
        <row r="17">
          <cell r="U17">
            <v>2.7938090862068767</v>
          </cell>
          <cell r="V17">
            <v>1479.0821044531831</v>
          </cell>
          <cell r="AA17">
            <v>56.441980388835844</v>
          </cell>
        </row>
        <row r="19">
          <cell r="AB19">
            <v>67.293020140851283</v>
          </cell>
        </row>
      </sheetData>
      <sheetData sheetId="7">
        <row r="48">
          <cell r="U48">
            <v>27.972475818083264</v>
          </cell>
          <cell r="V48">
            <v>14082.298270433952</v>
          </cell>
          <cell r="AA48">
            <v>6.7589517620112991</v>
          </cell>
          <cell r="AB48">
            <v>90.839647101124896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5.6464408531521988</v>
          </cell>
          <cell r="V25">
            <v>3072.4420756963477</v>
          </cell>
          <cell r="AA25">
            <v>82.879691822064174</v>
          </cell>
          <cell r="AB25">
            <v>103.39649402405568</v>
          </cell>
        </row>
      </sheetData>
      <sheetData sheetId="10">
        <row r="17">
          <cell r="P17">
            <v>23.649510622203657</v>
          </cell>
          <cell r="Q17">
            <v>8564.3098454320079</v>
          </cell>
        </row>
        <row r="37">
          <cell r="AB37">
            <v>76.180452719863823</v>
          </cell>
        </row>
      </sheetData>
      <sheetData sheetId="11">
        <row r="22">
          <cell r="U22">
            <v>23.426522521689495</v>
          </cell>
          <cell r="V22">
            <v>12266.912729427393</v>
          </cell>
          <cell r="AA22">
            <v>8.3099856273846644</v>
          </cell>
          <cell r="AB22">
            <v>80.137243413197709</v>
          </cell>
        </row>
      </sheetData>
      <sheetData sheetId="12">
        <row r="30">
          <cell r="U30">
            <v>20.63442293534327</v>
          </cell>
          <cell r="V30">
            <v>11078.42291481159</v>
          </cell>
          <cell r="AA30">
            <v>8.3099856273846644</v>
          </cell>
          <cell r="AB30">
            <v>72.490658466122724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4.5003913467144168</v>
          </cell>
        </row>
      </sheetData>
      <sheetData sheetId="15">
        <row r="21">
          <cell r="U21">
            <v>47.93477130454319</v>
          </cell>
          <cell r="V21">
            <v>18698.861798567574</v>
          </cell>
          <cell r="AA21">
            <v>351.23499270800681</v>
          </cell>
          <cell r="AB21">
            <v>489.37531736871347</v>
          </cell>
        </row>
      </sheetData>
      <sheetData sheetId="16">
        <row r="18">
          <cell r="AB18">
            <v>72.286620693514138</v>
          </cell>
        </row>
        <row r="28">
          <cell r="U28">
            <v>1.202823958870739</v>
          </cell>
          <cell r="V28">
            <v>506.08769578420174</v>
          </cell>
          <cell r="Y28">
            <v>6.0507392612057735</v>
          </cell>
          <cell r="AA28">
            <v>122.73807200499695</v>
          </cell>
          <cell r="AB28">
            <v>129.02937605797686</v>
          </cell>
        </row>
        <row r="35">
          <cell r="U35">
            <v>9.2656665424449542</v>
          </cell>
          <cell r="V35">
            <v>4103.4893990540131</v>
          </cell>
          <cell r="AA35">
            <v>224.7633939565103</v>
          </cell>
          <cell r="AB35">
            <v>257.40984669132422</v>
          </cell>
        </row>
        <row r="40">
          <cell r="U40">
            <v>31.590494929016078</v>
          </cell>
          <cell r="V40">
            <v>11991.92728947099</v>
          </cell>
          <cell r="AA40">
            <v>229.3802397780822</v>
          </cell>
          <cell r="AB40">
            <v>326.55061963731703</v>
          </cell>
        </row>
        <row r="50">
          <cell r="U50">
            <v>45.657651781815993</v>
          </cell>
          <cell r="V50">
            <v>17990.339024469693</v>
          </cell>
          <cell r="AA50">
            <v>351.23499270800681</v>
          </cell>
          <cell r="AB50">
            <v>483.58371759659838</v>
          </cell>
        </row>
        <row r="85">
          <cell r="AA85">
            <v>92.855400943636354</v>
          </cell>
        </row>
      </sheetData>
      <sheetData sheetId="17">
        <row r="18">
          <cell r="U18">
            <v>3.8460020985386847</v>
          </cell>
          <cell r="V18">
            <v>1077.477029734107</v>
          </cell>
          <cell r="AB18">
            <v>15.302749032542595</v>
          </cell>
        </row>
        <row r="32">
          <cell r="AB32">
            <v>15.302749032542595</v>
          </cell>
        </row>
        <row r="47">
          <cell r="U47">
            <v>12.849378260633438</v>
          </cell>
          <cell r="V47">
            <v>4450.3066409926905</v>
          </cell>
          <cell r="AA47">
            <v>17.773578403292674</v>
          </cell>
          <cell r="AB47">
            <v>62.636991021928402</v>
          </cell>
        </row>
        <row r="57">
          <cell r="U57">
            <v>4.6517159189237463</v>
          </cell>
          <cell r="V57">
            <v>1132.983422174955</v>
          </cell>
          <cell r="AA57">
            <v>58.096985543583045</v>
          </cell>
          <cell r="AB57">
            <v>76.538179989290342</v>
          </cell>
        </row>
      </sheetData>
      <sheetData sheetId="18">
        <row r="18">
          <cell r="U18">
            <v>1.5907908906043466</v>
          </cell>
          <cell r="V18">
            <v>675.87195501503072</v>
          </cell>
          <cell r="Y18">
            <v>7.0194059632976131</v>
          </cell>
          <cell r="AA18">
            <v>7.4537284709415399</v>
          </cell>
          <cell r="AB18">
            <v>14.791292612360023</v>
          </cell>
        </row>
        <row r="23">
          <cell r="U23">
            <v>13.757399239310597</v>
          </cell>
          <cell r="V23">
            <v>7349.6993755499243</v>
          </cell>
          <cell r="AA23">
            <v>7.4537284709415399</v>
          </cell>
          <cell r="AB23">
            <v>52.662152362870941</v>
          </cell>
        </row>
      </sheetData>
      <sheetData sheetId="19">
        <row r="29">
          <cell r="U29">
            <v>12.166608348706252</v>
          </cell>
          <cell r="V29">
            <v>6673.8274205348935</v>
          </cell>
          <cell r="AB29">
            <v>40.473059184640931</v>
          </cell>
        </row>
      </sheetData>
      <sheetData sheetId="20">
        <row r="22">
          <cell r="U22">
            <v>22.324828386571124</v>
          </cell>
          <cell r="V22">
            <v>7888.437890416978</v>
          </cell>
          <cell r="AA22">
            <v>4.616845821571907</v>
          </cell>
          <cell r="AB22">
            <v>77.311220984880237</v>
          </cell>
        </row>
      </sheetData>
      <sheetData sheetId="21">
        <row r="17">
          <cell r="AA17">
            <v>4.616845821571907</v>
          </cell>
        </row>
        <row r="19">
          <cell r="AB19">
            <v>4.616845821571907</v>
          </cell>
        </row>
        <row r="30">
          <cell r="U30">
            <v>13.086494014589462</v>
          </cell>
          <cell r="V30">
            <v>3774.4346859776597</v>
          </cell>
          <cell r="AB30">
            <v>51.149744614749984</v>
          </cell>
        </row>
      </sheetData>
      <sheetData sheetId="22">
        <row r="23">
          <cell r="U23">
            <v>5.4641584354604369</v>
          </cell>
          <cell r="V23">
            <v>2492.8900369757293</v>
          </cell>
          <cell r="AA23">
            <v>102.02532195151336</v>
          </cell>
          <cell r="AB23">
            <v>122.29440062709861</v>
          </cell>
        </row>
        <row r="36">
          <cell r="U36">
            <v>7.1504711057389141</v>
          </cell>
          <cell r="V36">
            <v>3114.8881405040547</v>
          </cell>
          <cell r="AB36">
            <v>127.97071860704811</v>
          </cell>
        </row>
      </sheetData>
      <sheetData sheetId="23">
        <row r="18">
          <cell r="AB18">
            <v>101.52264808533893</v>
          </cell>
        </row>
        <row r="27">
          <cell r="U27">
            <v>4.9020542120342778</v>
          </cell>
          <cell r="V27">
            <v>2285.5573357996209</v>
          </cell>
          <cell r="AA27">
            <v>83.188953949679401</v>
          </cell>
          <cell r="AB27">
            <v>101.52264808533893</v>
          </cell>
        </row>
        <row r="33">
          <cell r="AB33">
            <v>18.836368001833961</v>
          </cell>
        </row>
      </sheetData>
      <sheetData sheetId="24">
        <row r="25">
          <cell r="U25">
            <v>3.1523628075466879</v>
          </cell>
          <cell r="V25">
            <v>1316.5127059232882</v>
          </cell>
          <cell r="AA25">
            <v>57.060422340989369</v>
          </cell>
          <cell r="AB25">
            <v>69.417126423349487</v>
          </cell>
        </row>
        <row r="29">
          <cell r="U29">
            <v>4.7876339097312304</v>
          </cell>
          <cell r="V29">
            <v>1806.2749921660641</v>
          </cell>
          <cell r="AA29">
            <v>68.163128290084572</v>
          </cell>
          <cell r="AB29">
            <v>86.450796356011438</v>
          </cell>
        </row>
        <row r="33">
          <cell r="U33">
            <v>7.5144201313907857</v>
          </cell>
          <cell r="V33">
            <v>3043.7410354061444</v>
          </cell>
          <cell r="AA33">
            <v>68.163128290084572</v>
          </cell>
          <cell r="AB33">
            <v>95.493508147801023</v>
          </cell>
        </row>
      </sheetData>
      <sheetData sheetId="25">
        <row r="29">
          <cell r="U29">
            <v>1.635271102184543</v>
          </cell>
          <cell r="V29">
            <v>489.76228624277593</v>
          </cell>
          <cell r="Y29">
            <v>7.5356677842793474</v>
          </cell>
          <cell r="AA29">
            <v>11.102705949095206</v>
          </cell>
          <cell r="AB29">
            <v>18.965427953811464</v>
          </cell>
        </row>
      </sheetData>
      <sheetData sheetId="26">
        <row r="17">
          <cell r="AA17">
            <v>25.779303987003551</v>
          </cell>
        </row>
        <row r="33">
          <cell r="U33">
            <v>2.2538681584134026</v>
          </cell>
          <cell r="V33">
            <v>1008.9103096601183</v>
          </cell>
          <cell r="AB33">
            <v>34.789170929217825</v>
          </cell>
        </row>
      </sheetData>
      <sheetData sheetId="27">
        <row r="18">
          <cell r="AB18">
            <v>14.65361666933018</v>
          </cell>
        </row>
        <row r="31">
          <cell r="U31">
            <v>3.4785679389434256</v>
          </cell>
          <cell r="V31">
            <v>2197.4001242759214</v>
          </cell>
          <cell r="AA31">
            <v>14.65361666933018</v>
          </cell>
          <cell r="AB31">
            <v>27.710920163763973</v>
          </cell>
        </row>
      </sheetData>
      <sheetData sheetId="28">
        <row r="47">
          <cell r="U47">
            <v>8.833481103155755</v>
          </cell>
          <cell r="V47">
            <v>4624.1017992149837</v>
          </cell>
          <cell r="AA47">
            <v>2.9721917143107568</v>
          </cell>
          <cell r="AB47">
            <v>33.679888682284741</v>
          </cell>
        </row>
      </sheetData>
      <sheetData sheetId="29">
        <row r="38">
          <cell r="U38">
            <v>12.405134514781166</v>
          </cell>
          <cell r="V38">
            <v>5462.9383020399355</v>
          </cell>
          <cell r="AA38">
            <v>92.855400943636354</v>
          </cell>
          <cell r="AB38">
            <v>135.14630516957925</v>
          </cell>
        </row>
      </sheetData>
      <sheetData sheetId="30">
        <row r="32">
          <cell r="U32">
            <v>3.8691379317108909</v>
          </cell>
          <cell r="V32">
            <v>1230.9358794235102</v>
          </cell>
          <cell r="AA32">
            <v>90.695409075659938</v>
          </cell>
          <cell r="AB32">
            <v>105.93984064851142</v>
          </cell>
        </row>
      </sheetData>
      <sheetData sheetId="31">
        <row r="17">
          <cell r="P17">
            <v>0.1164879921625764</v>
          </cell>
          <cell r="Q17">
            <v>64.648621784046412</v>
          </cell>
          <cell r="Y17">
            <v>2.8356340595902911</v>
          </cell>
          <cell r="AA17">
            <v>27.085012991728046</v>
          </cell>
        </row>
        <row r="23">
          <cell r="AB23">
            <v>29.943944649750854</v>
          </cell>
        </row>
        <row r="35">
          <cell r="U35">
            <v>6.2076568406687143</v>
          </cell>
          <cell r="V35">
            <v>2994.080109897503</v>
          </cell>
          <cell r="AB35">
            <v>49.700348413026049</v>
          </cell>
        </row>
      </sheetData>
      <sheetData sheetId="32">
        <row r="29">
          <cell r="AB29">
            <v>22.488943302805747</v>
          </cell>
        </row>
        <row r="36">
          <cell r="AB36">
            <v>30.493953803066191</v>
          </cell>
        </row>
      </sheetData>
      <sheetData sheetId="33">
        <row r="18">
          <cell r="AB18">
            <v>10.306240241695676</v>
          </cell>
        </row>
        <row r="30">
          <cell r="U30">
            <v>10.473186812613365</v>
          </cell>
          <cell r="V30">
            <v>6014.2808750612876</v>
          </cell>
          <cell r="AA30">
            <v>37.821611712096313</v>
          </cell>
          <cell r="AB30">
            <v>73.113468084285103</v>
          </cell>
        </row>
      </sheetData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75.672331024794801</v>
          </cell>
          <cell r="V19">
            <v>39070.889925090305</v>
          </cell>
          <cell r="AB19">
            <v>366.50459458793</v>
          </cell>
        </row>
        <row r="25">
          <cell r="U25">
            <v>82.994021296211727</v>
          </cell>
          <cell r="V25">
            <v>43349.98077261023</v>
          </cell>
          <cell r="AB25">
            <v>381.71978303153742</v>
          </cell>
        </row>
        <row r="41">
          <cell r="U41">
            <v>103.51272794854543</v>
          </cell>
          <cell r="V41">
            <v>53311.033901831848</v>
          </cell>
          <cell r="AA41">
            <v>172.34723445153952</v>
          </cell>
          <cell r="AB41">
            <v>424.79201879010492</v>
          </cell>
        </row>
      </sheetData>
      <sheetData sheetId="3">
        <row r="23">
          <cell r="AB23">
            <v>324.88691437247678</v>
          </cell>
        </row>
        <row r="26">
          <cell r="U26">
            <v>63.331007652085049</v>
          </cell>
          <cell r="V26">
            <v>32255.778913984264</v>
          </cell>
          <cell r="AA26">
            <v>157.28975703162274</v>
          </cell>
          <cell r="AB26">
            <v>324.88691437247678</v>
          </cell>
        </row>
      </sheetData>
      <sheetData sheetId="4">
        <row r="20">
          <cell r="U20">
            <v>39.421549086030737</v>
          </cell>
          <cell r="V20">
            <v>19892.489648544673</v>
          </cell>
          <cell r="AA20">
            <v>148.94138594279937</v>
          </cell>
          <cell r="AB20">
            <v>261.48308183075187</v>
          </cell>
        </row>
      </sheetData>
      <sheetData sheetId="5">
        <row r="24">
          <cell r="U24">
            <v>2.8714150243655054</v>
          </cell>
          <cell r="V24">
            <v>1529.0945999487883</v>
          </cell>
          <cell r="AA24">
            <v>47.348967924091255</v>
          </cell>
          <cell r="AB24">
            <v>58.471416909800588</v>
          </cell>
        </row>
        <row r="42">
          <cell r="U42">
            <v>5.7428300487310109</v>
          </cell>
          <cell r="V42">
            <v>3058.1891998975766</v>
          </cell>
          <cell r="AA42">
            <v>94.69793584818251</v>
          </cell>
          <cell r="AB42">
            <v>115.57487140895331</v>
          </cell>
        </row>
      </sheetData>
      <sheetData sheetId="6">
        <row r="17">
          <cell r="U17">
            <v>2.8514032557023308</v>
          </cell>
          <cell r="V17">
            <v>1490.7026982284096</v>
          </cell>
          <cell r="AA17">
            <v>57.543255163243714</v>
          </cell>
        </row>
        <row r="19">
          <cell r="AB19">
            <v>68.610998947823362</v>
          </cell>
        </row>
      </sheetData>
      <sheetData sheetId="7">
        <row r="48">
          <cell r="U48">
            <v>28.549126356385251</v>
          </cell>
          <cell r="V48">
            <v>14192.937610285058</v>
          </cell>
          <cell r="AA48">
            <v>6.8944821705255972</v>
          </cell>
          <cell r="AB48">
            <v>92.610840745461161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5.762841817394186</v>
          </cell>
          <cell r="V25">
            <v>3096.581101617955</v>
          </cell>
          <cell r="AA25">
            <v>84.503648609030037</v>
          </cell>
          <cell r="AB25">
            <v>105.42666997338854</v>
          </cell>
        </row>
      </sheetData>
      <sheetData sheetId="10">
        <row r="17">
          <cell r="P17">
            <v>24.137043549913116</v>
          </cell>
          <cell r="Q17">
            <v>8631.5964182188054</v>
          </cell>
        </row>
        <row r="37">
          <cell r="AB37">
            <v>77.670226532375224</v>
          </cell>
        </row>
      </sheetData>
      <sheetData sheetId="11">
        <row r="22">
          <cell r="U22">
            <v>23.909458566054315</v>
          </cell>
          <cell r="V22">
            <v>12363.289265439593</v>
          </cell>
          <cell r="AA22">
            <v>8.3483710888233738</v>
          </cell>
          <cell r="AB22">
            <v>81.574829960161921</v>
          </cell>
        </row>
      </sheetData>
      <sheetData sheetId="12">
        <row r="30">
          <cell r="U30">
            <v>21.05980005142694</v>
          </cell>
          <cell r="V30">
            <v>11165.461931763784</v>
          </cell>
          <cell r="AA30">
            <v>8.3483710888233738</v>
          </cell>
          <cell r="AB30">
            <v>73.780611179369544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4.5387768081531261</v>
          </cell>
        </row>
      </sheetData>
      <sheetData sheetId="15">
        <row r="21">
          <cell r="U21">
            <v>48.752843467196556</v>
          </cell>
          <cell r="V21">
            <v>18815.965574690996</v>
          </cell>
          <cell r="AA21">
            <v>357.6586820906216</v>
          </cell>
          <cell r="AB21">
            <v>498.02360864817092</v>
          </cell>
        </row>
      </sheetData>
      <sheetData sheetId="16">
        <row r="18">
          <cell r="AB18">
            <v>73.704884270471581</v>
          </cell>
        </row>
        <row r="28">
          <cell r="U28">
            <v>1.227620086602734</v>
          </cell>
          <cell r="V28">
            <v>510.06383714217111</v>
          </cell>
          <cell r="Y28">
            <v>6.1268263056401677</v>
          </cell>
          <cell r="AA28">
            <v>125.14311614838614</v>
          </cell>
          <cell r="AB28">
            <v>131.51546647134685</v>
          </cell>
        </row>
        <row r="35">
          <cell r="U35">
            <v>9.4378691078141763</v>
          </cell>
          <cell r="V35">
            <v>4131.938049157161</v>
          </cell>
          <cell r="AA35">
            <v>228.76456334808745</v>
          </cell>
          <cell r="AB35">
            <v>261.99227177587858</v>
          </cell>
        </row>
        <row r="40">
          <cell r="U40">
            <v>32.222922194920869</v>
          </cell>
          <cell r="V40">
            <v>12082.35243970868</v>
          </cell>
          <cell r="AA40">
            <v>233.41490819502812</v>
          </cell>
          <cell r="AB40">
            <v>332.4252253189714</v>
          </cell>
        </row>
        <row r="50">
          <cell r="U50">
            <v>46.428781292446054</v>
          </cell>
          <cell r="V50">
            <v>18101.876202691958</v>
          </cell>
          <cell r="AA50">
            <v>357.6586820906216</v>
          </cell>
          <cell r="AB50">
            <v>492.11726271333453</v>
          </cell>
        </row>
        <row r="85">
          <cell r="AA85">
            <v>94.659551435494762</v>
          </cell>
        </row>
      </sheetData>
      <sheetData sheetId="17">
        <row r="18">
          <cell r="U18">
            <v>3.9252871498461261</v>
          </cell>
          <cell r="V18">
            <v>1085.9423629478481</v>
          </cell>
          <cell r="AB18">
            <v>15.609409895113336</v>
          </cell>
        </row>
        <row r="32">
          <cell r="AB32">
            <v>15.609409895113336</v>
          </cell>
        </row>
        <row r="47">
          <cell r="U47">
            <v>13.114267251476717</v>
          </cell>
          <cell r="V47">
            <v>4485.2710324179297</v>
          </cell>
          <cell r="AA47">
            <v>18.060102946849824</v>
          </cell>
          <cell r="AB47">
            <v>63.807744689341014</v>
          </cell>
        </row>
        <row r="57">
          <cell r="U57">
            <v>4.7476107015708084</v>
          </cell>
          <cell r="V57">
            <v>1141.8848483118281</v>
          </cell>
          <cell r="AA57">
            <v>59.239500229739107</v>
          </cell>
          <cell r="AB57">
            <v>78.050052824527782</v>
          </cell>
        </row>
      </sheetData>
      <sheetData sheetId="18">
        <row r="18">
          <cell r="U18">
            <v>1.6235849281918193</v>
          </cell>
          <cell r="V18">
            <v>681.18202766728655</v>
          </cell>
          <cell r="Y18">
            <v>7.1240492936681115</v>
          </cell>
          <cell r="AA18">
            <v>7.6030745417964969</v>
          </cell>
          <cell r="AB18">
            <v>15.051840821102973</v>
          </cell>
        </row>
        <row r="23">
          <cell r="U23">
            <v>14.041007016061458</v>
          </cell>
          <cell r="V23">
            <v>7407.4432090775936</v>
          </cell>
          <cell r="AA23">
            <v>7.6030745417964969</v>
          </cell>
          <cell r="AB23">
            <v>53.69714869533955</v>
          </cell>
        </row>
      </sheetData>
      <sheetData sheetId="19">
        <row r="29">
          <cell r="U29">
            <v>12.417422087869639</v>
          </cell>
          <cell r="V29">
            <v>6726.2611814103075</v>
          </cell>
          <cell r="AB29">
            <v>41.26684462637504</v>
          </cell>
        </row>
      </sheetData>
      <sheetData sheetId="20">
        <row r="22">
          <cell r="U22">
            <v>22.785053087106689</v>
          </cell>
          <cell r="V22">
            <v>7950.4143905515184</v>
          </cell>
          <cell r="AA22">
            <v>4.6503448469406701</v>
          </cell>
          <cell r="AB22">
            <v>78.767659558534575</v>
          </cell>
        </row>
      </sheetData>
      <sheetData sheetId="21">
        <row r="17">
          <cell r="AA17">
            <v>4.6503448469406701</v>
          </cell>
        </row>
        <row r="19">
          <cell r="AB19">
            <v>4.6503448469406701</v>
          </cell>
        </row>
        <row r="30">
          <cell r="U30">
            <v>13.356271129317372</v>
          </cell>
          <cell r="V30">
            <v>3804.0890047506437</v>
          </cell>
          <cell r="AB30">
            <v>52.102238890124525</v>
          </cell>
        </row>
      </sheetData>
      <sheetData sheetId="22">
        <row r="23">
          <cell r="U23">
            <v>5.5768016610249989</v>
          </cell>
          <cell r="V23">
            <v>2512.4757397293397</v>
          </cell>
          <cell r="AA23">
            <v>103.62144719970132</v>
          </cell>
          <cell r="AB23">
            <v>124.29286032189049</v>
          </cell>
        </row>
        <row r="36">
          <cell r="U36">
            <v>7.2978775433761411</v>
          </cell>
          <cell r="V36">
            <v>3139.3606492492336</v>
          </cell>
          <cell r="AB36">
            <v>130.08045937718776</v>
          </cell>
        </row>
      </sheetData>
      <sheetData sheetId="23">
        <row r="18">
          <cell r="AB18">
            <v>103.10602267557954</v>
          </cell>
        </row>
        <row r="27">
          <cell r="U27">
            <v>5.0031097002412848</v>
          </cell>
          <cell r="V27">
            <v>2303.5141032227084</v>
          </cell>
          <cell r="AA27">
            <v>84.408031796856378</v>
          </cell>
          <cell r="AB27">
            <v>103.10602267557954</v>
          </cell>
        </row>
        <row r="33">
          <cell r="AB33">
            <v>19.213415402844944</v>
          </cell>
        </row>
      </sheetData>
      <sheetData sheetId="24">
        <row r="25">
          <cell r="U25">
            <v>3.1988261343992423</v>
          </cell>
          <cell r="V25">
            <v>1324.4393361143368</v>
          </cell>
          <cell r="AA25">
            <v>57.847204207131483</v>
          </cell>
          <cell r="AB25">
            <v>70.38021062214446</v>
          </cell>
        </row>
        <row r="29">
          <cell r="U29">
            <v>4.8678082304720984</v>
          </cell>
          <cell r="V29">
            <v>1818.0495010906316</v>
          </cell>
          <cell r="AA29">
            <v>69.141212459406205</v>
          </cell>
          <cell r="AB29">
            <v>87.724700339213328</v>
          </cell>
        </row>
        <row r="33">
          <cell r="U33">
            <v>7.6508069501879721</v>
          </cell>
          <cell r="V33">
            <v>3065.2378512640689</v>
          </cell>
          <cell r="AA33">
            <v>69.141212459406205</v>
          </cell>
          <cell r="AB33">
            <v>96.947699212154859</v>
          </cell>
        </row>
      </sheetData>
      <sheetData sheetId="25">
        <row r="29">
          <cell r="U29">
            <v>1.6689820960728563</v>
          </cell>
          <cell r="V29">
            <v>493.61016497629464</v>
          </cell>
          <cell r="Y29">
            <v>7.6447656292324062</v>
          </cell>
          <cell r="AA29">
            <v>11.294008252274715</v>
          </cell>
          <cell r="AB29">
            <v>19.272570300721693</v>
          </cell>
        </row>
      </sheetData>
      <sheetData sheetId="26">
        <row r="17">
          <cell r="AA17">
            <v>26.287024505940515</v>
          </cell>
        </row>
        <row r="33">
          <cell r="U33">
            <v>2.3003314852659571</v>
          </cell>
          <cell r="V33">
            <v>1016.8369398511668</v>
          </cell>
          <cell r="AB33">
            <v>35.477569238474317</v>
          </cell>
        </row>
      </sheetData>
      <sheetData sheetId="27">
        <row r="18">
          <cell r="AB18">
            <v>14.944438205349087</v>
          </cell>
        </row>
        <row r="31">
          <cell r="U31">
            <v>3.550278361987746</v>
          </cell>
          <cell r="V31">
            <v>2214.6642735269752</v>
          </cell>
          <cell r="AA31">
            <v>14.944438205349087</v>
          </cell>
          <cell r="AB31">
            <v>28.261316311850578</v>
          </cell>
        </row>
      </sheetData>
      <sheetData sheetId="28">
        <row r="47">
          <cell r="U47">
            <v>8.9132207475209313</v>
          </cell>
          <cell r="V47">
            <v>4637.2358919587277</v>
          </cell>
          <cell r="AA47">
            <v>2.9862757845524053</v>
          </cell>
          <cell r="AB47">
            <v>33.961108278571629</v>
          </cell>
        </row>
      </sheetData>
      <sheetData sheetId="29">
        <row r="38">
          <cell r="U38">
            <v>12.509574290852555</v>
          </cell>
          <cell r="V38">
            <v>5479.8433159425276</v>
          </cell>
          <cell r="AA38">
            <v>94.659551435494762</v>
          </cell>
          <cell r="AB38">
            <v>137.29075704527961</v>
          </cell>
        </row>
      </sheetData>
      <sheetData sheetId="30">
        <row r="32">
          <cell r="U32">
            <v>3.9488999265230689</v>
          </cell>
          <cell r="V32">
            <v>1240.6068813070872</v>
          </cell>
          <cell r="AA32">
            <v>92.472028754473868</v>
          </cell>
          <cell r="AB32">
            <v>108.02151962057839</v>
          </cell>
        </row>
      </sheetData>
      <sheetData sheetId="31">
        <row r="17">
          <cell r="P17">
            <v>0.11888938358116657</v>
          </cell>
          <cell r="Q17">
            <v>65.156541776870895</v>
          </cell>
          <cell r="Y17">
            <v>2.8490121476661234</v>
          </cell>
          <cell r="AA17">
            <v>27.619516238242838</v>
          </cell>
        </row>
        <row r="23">
          <cell r="AB23">
            <v>30.492306262625196</v>
          </cell>
        </row>
        <row r="35">
          <cell r="U35">
            <v>6.3356272313500961</v>
          </cell>
          <cell r="V35">
            <v>3017.6034752217474</v>
          </cell>
          <cell r="AB35">
            <v>50.682761811902516</v>
          </cell>
        </row>
      </sheetData>
      <sheetData sheetId="32">
        <row r="29">
          <cell r="AB29">
            <v>22.890949668888382</v>
          </cell>
        </row>
        <row r="36">
          <cell r="AB36">
            <v>31.045472332181685</v>
          </cell>
        </row>
      </sheetData>
      <sheetData sheetId="33">
        <row r="18">
          <cell r="AB18">
            <v>10.512498209427314</v>
          </cell>
        </row>
        <row r="30">
          <cell r="U30">
            <v>10.689090790956479</v>
          </cell>
          <cell r="V30">
            <v>6061.5328259088974</v>
          </cell>
          <cell r="AA30">
            <v>38.571954752883315</v>
          </cell>
          <cell r="AB30">
            <v>74.55684162207892</v>
          </cell>
        </row>
      </sheetData>
      <sheetData sheetId="3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77.217738148284226</v>
          </cell>
          <cell r="V19">
            <v>39376.527291670267</v>
          </cell>
          <cell r="AB19">
            <v>373.4436131937515</v>
          </cell>
        </row>
        <row r="25">
          <cell r="U25">
            <v>84.656410327824545</v>
          </cell>
          <cell r="V25">
            <v>43682.132624794278</v>
          </cell>
          <cell r="AB25">
            <v>388.8721494298054</v>
          </cell>
        </row>
        <row r="41">
          <cell r="U41">
            <v>105.59415726867422</v>
          </cell>
          <cell r="V41">
            <v>53721.107451029085</v>
          </cell>
          <cell r="AA41">
            <v>175.57154688916589</v>
          </cell>
          <cell r="AB41">
            <v>432.76887484000997</v>
          </cell>
        </row>
      </sheetData>
      <sheetData sheetId="3">
        <row r="23">
          <cell r="AB23">
            <v>331.02358927576245</v>
          </cell>
        </row>
        <row r="26">
          <cell r="U26">
            <v>64.624375902248062</v>
          </cell>
          <cell r="V26">
            <v>32508.104144946683</v>
          </cell>
          <cell r="AA26">
            <v>160.21730898024123</v>
          </cell>
          <cell r="AB26">
            <v>331.02358927576245</v>
          </cell>
        </row>
      </sheetData>
      <sheetData sheetId="4">
        <row r="20">
          <cell r="U20">
            <v>40.226629912159616</v>
          </cell>
          <cell r="V20">
            <v>20048.101362599744</v>
          </cell>
          <cell r="AA20">
            <v>151.82993318711462</v>
          </cell>
          <cell r="AB20">
            <v>266.53327960860832</v>
          </cell>
        </row>
      </sheetData>
      <sheetData sheetId="5">
        <row r="24">
          <cell r="U24">
            <v>2.9300560781437355</v>
          </cell>
          <cell r="V24">
            <v>1541.0561510595005</v>
          </cell>
          <cell r="AA24">
            <v>48.266174777608974</v>
          </cell>
          <cell r="AB24">
            <v>59.608555886725412</v>
          </cell>
        </row>
        <row r="42">
          <cell r="U42">
            <v>5.860112156287471</v>
          </cell>
          <cell r="V42">
            <v>3082.112302119001</v>
          </cell>
          <cell r="AA42">
            <v>96.532349555217948</v>
          </cell>
          <cell r="AB42">
            <v>117.81871438051417</v>
          </cell>
        </row>
      </sheetData>
      <sheetData sheetId="6">
        <row r="17">
          <cell r="U17">
            <v>2.9096356220590565</v>
          </cell>
          <cell r="V17">
            <v>1502.3639234504026</v>
          </cell>
          <cell r="AA17">
            <v>58.655128065476575</v>
          </cell>
        </row>
        <row r="19">
          <cell r="AB19">
            <v>69.941785094850133</v>
          </cell>
        </row>
      </sheetData>
      <sheetData sheetId="7">
        <row r="48">
          <cell r="U48">
            <v>29.132166717942255</v>
          </cell>
          <cell r="V48">
            <v>14303.963800974805</v>
          </cell>
          <cell r="AA48">
            <v>7.0314088542876929</v>
          </cell>
          <cell r="AB48">
            <v>94.399066587886921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5.8805326123721491</v>
          </cell>
          <cell r="V25">
            <v>3120.8045297280992</v>
          </cell>
          <cell r="AA25">
            <v>86.143396267350354</v>
          </cell>
          <cell r="AB25">
            <v>107.47668777758119</v>
          </cell>
        </row>
      </sheetData>
      <sheetData sheetId="10">
        <row r="17">
          <cell r="P17">
            <v>24.629978795026524</v>
          </cell>
          <cell r="Q17">
            <v>8699.1182587426192</v>
          </cell>
        </row>
        <row r="37">
          <cell r="AB37">
            <v>79.174412829691178</v>
          </cell>
        </row>
      </sheetData>
      <sheetData sheetId="11">
        <row r="22">
          <cell r="U22">
            <v>24.397745990088453</v>
          </cell>
          <cell r="V22">
            <v>12460.002782346939</v>
          </cell>
          <cell r="AA22">
            <v>8.387375793126612</v>
          </cell>
          <cell r="AB22">
            <v>83.026451691882357</v>
          </cell>
        </row>
      </sheetData>
      <sheetData sheetId="12">
        <row r="30">
          <cell r="U30">
            <v>21.489890740824023</v>
          </cell>
          <cell r="V30">
            <v>11252.805280943083</v>
          </cell>
          <cell r="AA30">
            <v>8.387375793126612</v>
          </cell>
          <cell r="AB30">
            <v>75.083212188547023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4.5777815124563643</v>
          </cell>
        </row>
      </sheetData>
      <sheetData sheetId="15">
        <row r="21">
          <cell r="U21">
            <v>49.579980628808542</v>
          </cell>
          <cell r="V21">
            <v>18933.478804577084</v>
          </cell>
          <cell r="AA21">
            <v>364.14405913545477</v>
          </cell>
          <cell r="AB21">
            <v>506.75558773128932</v>
          </cell>
        </row>
      </sheetData>
      <sheetData sheetId="16">
        <row r="18">
          <cell r="AB18">
            <v>75.136976156676667</v>
          </cell>
        </row>
        <row r="28">
          <cell r="U28">
            <v>1.2526909784476403</v>
          </cell>
          <cell r="V28">
            <v>514.05388109230114</v>
          </cell>
          <cell r="Y28">
            <v>6.2040165164757664</v>
          </cell>
          <cell r="AA28">
            <v>127.57153861978605</v>
          </cell>
          <cell r="AB28">
            <v>134.02609333195136</v>
          </cell>
        </row>
        <row r="35">
          <cell r="U35">
            <v>9.6119798374591294</v>
          </cell>
          <cell r="V35">
            <v>4160.4861700648662</v>
          </cell>
          <cell r="AA35">
            <v>232.80528744426908</v>
          </cell>
          <cell r="AB35">
            <v>266.62009381777165</v>
          </cell>
        </row>
        <row r="40">
          <cell r="U40">
            <v>32.862357341998681</v>
          </cell>
          <cell r="V40">
            <v>12173.093761800348</v>
          </cell>
          <cell r="AA40">
            <v>237.48974181663101</v>
          </cell>
          <cell r="AB40">
            <v>338.35777166707334</v>
          </cell>
        </row>
        <row r="50">
          <cell r="U50">
            <v>47.2084556338746</v>
          </cell>
          <cell r="V50">
            <v>18213.803371047863</v>
          </cell>
          <cell r="AA50">
            <v>364.14405913545477</v>
          </cell>
          <cell r="AB50">
            <v>500.7334055193428</v>
          </cell>
        </row>
        <row r="85">
          <cell r="AA85">
            <v>96.480903129398968</v>
          </cell>
        </row>
      </sheetData>
      <sheetData sheetId="17">
        <row r="18">
          <cell r="U18">
            <v>4.0054507531204324</v>
          </cell>
          <cell r="V18">
            <v>1094.4372952287702</v>
          </cell>
          <cell r="AB18">
            <v>15.919225000408561</v>
          </cell>
        </row>
        <row r="32">
          <cell r="AB32">
            <v>15.919225000408561</v>
          </cell>
        </row>
        <row r="47">
          <cell r="U47">
            <v>13.382091458228526</v>
          </cell>
          <cell r="V47">
            <v>4520.3576769600413</v>
          </cell>
          <cell r="AA47">
            <v>18.350709900332109</v>
          </cell>
          <cell r="AB47">
            <v>64.991298673187217</v>
          </cell>
        </row>
        <row r="57">
          <cell r="U57">
            <v>4.8445680874263868</v>
          </cell>
          <cell r="V57">
            <v>1150.8173983163128</v>
          </cell>
          <cell r="AA57">
            <v>60.393217829145478</v>
          </cell>
          <cell r="AB57">
            <v>79.576922481012474</v>
          </cell>
        </row>
      </sheetData>
      <sheetData sheetId="18">
        <row r="18">
          <cell r="U18">
            <v>1.6567423541576662</v>
          </cell>
          <cell r="V18">
            <v>686.51066700713761</v>
          </cell>
          <cell r="Y18">
            <v>7.2301513383662783</v>
          </cell>
          <cell r="AA18">
            <v>7.7539561213674606</v>
          </cell>
          <cell r="AB18">
            <v>15.315455930565271</v>
          </cell>
        </row>
        <row r="23">
          <cell r="U23">
            <v>14.327757430244898</v>
          </cell>
          <cell r="V23">
            <v>7465.3889441210958</v>
          </cell>
          <cell r="AA23">
            <v>7.7539561213674606</v>
          </cell>
          <cell r="AB23">
            <v>54.742284479108527</v>
          </cell>
        </row>
      </sheetData>
      <sheetData sheetId="19">
        <row r="29">
          <cell r="U29">
            <v>12.671015076087231</v>
          </cell>
          <cell r="V29">
            <v>6778.8782771139586</v>
          </cell>
          <cell r="AB29">
            <v>42.068362648906643</v>
          </cell>
        </row>
      </sheetData>
      <sheetData sheetId="20">
        <row r="22">
          <cell r="U22">
            <v>23.25037750453955</v>
          </cell>
          <cell r="V22">
            <v>8012.607591735481</v>
          </cell>
          <cell r="AA22">
            <v>4.6844543723619383</v>
          </cell>
          <cell r="AB22">
            <v>80.238505198102857</v>
          </cell>
        </row>
      </sheetData>
      <sheetData sheetId="21">
        <row r="17">
          <cell r="AA17">
            <v>4.6844543723619383</v>
          </cell>
        </row>
        <row r="19">
          <cell r="AB19">
            <v>4.6844543723619383</v>
          </cell>
        </row>
        <row r="30">
          <cell r="U30">
            <v>13.629037624903981</v>
          </cell>
          <cell r="V30">
            <v>3833.847009952904</v>
          </cell>
          <cell r="AB30">
            <v>53.064450226301517</v>
          </cell>
        </row>
      </sheetData>
      <sheetData sheetId="22">
        <row r="23">
          <cell r="U23">
            <v>5.6906930780927745</v>
          </cell>
          <cell r="V23">
            <v>2532.1299239611094</v>
          </cell>
          <cell r="AA23">
            <v>105.23374882448303</v>
          </cell>
          <cell r="AB23">
            <v>126.31153454103007</v>
          </cell>
        </row>
        <row r="36">
          <cell r="U36">
            <v>7.4469173811761893</v>
          </cell>
          <cell r="V36">
            <v>3163.9187262068081</v>
          </cell>
          <cell r="AB36">
            <v>132.21149633771671</v>
          </cell>
        </row>
      </sheetData>
      <sheetData sheetId="23">
        <row r="18">
          <cell r="AB18">
            <v>104.70537284178198</v>
          </cell>
        </row>
        <row r="27">
          <cell r="U27">
            <v>5.1052849770649695</v>
          </cell>
          <cell r="V27">
            <v>2321.5336565458765</v>
          </cell>
          <cell r="AA27">
            <v>85.63941913600712</v>
          </cell>
          <cell r="AB27">
            <v>104.70537284178198</v>
          </cell>
        </row>
        <row r="33">
          <cell r="AB33">
            <v>19.594329688475916</v>
          </cell>
        </row>
      </sheetData>
      <sheetData sheetId="24">
        <row r="25">
          <cell r="U25">
            <v>3.245804318044097</v>
          </cell>
          <cell r="V25">
            <v>1332.3936817955639</v>
          </cell>
          <cell r="AA25">
            <v>58.64198537261305</v>
          </cell>
          <cell r="AB25">
            <v>71.353146158533534</v>
          </cell>
        </row>
        <row r="29">
          <cell r="U29">
            <v>4.9488709571106426</v>
          </cell>
          <cell r="V29">
            <v>1829.8651796268232</v>
          </cell>
          <cell r="AA29">
            <v>70.130970171600893</v>
          </cell>
          <cell r="AB29">
            <v>89.013338785158382</v>
          </cell>
        </row>
        <row r="33">
          <cell r="U33">
            <v>7.7887050615419895</v>
          </cell>
          <cell r="V33">
            <v>3086.8098308138046</v>
          </cell>
          <cell r="AA33">
            <v>70.130970171600893</v>
          </cell>
          <cell r="AB33">
            <v>98.418385507763787</v>
          </cell>
        </row>
      </sheetData>
      <sheetData sheetId="25">
        <row r="29">
          <cell r="U29">
            <v>1.7030666390665452</v>
          </cell>
          <cell r="V29">
            <v>497.47149783125923</v>
          </cell>
          <cell r="Y29">
            <v>7.7553849848273</v>
          </cell>
          <cell r="AA29">
            <v>11.48898479898785</v>
          </cell>
          <cell r="AB29">
            <v>19.584983111628461</v>
          </cell>
        </row>
      </sheetData>
      <sheetData sheetId="26">
        <row r="17">
          <cell r="AA17">
            <v>26.799741715590166</v>
          </cell>
        </row>
        <row r="33">
          <cell r="U33">
            <v>2.3473096689108117</v>
          </cell>
          <cell r="V33">
            <v>1024.7912855323939</v>
          </cell>
          <cell r="AB33">
            <v>36.172825958684896</v>
          </cell>
        </row>
      </sheetData>
      <sheetData sheetId="27">
        <row r="18">
          <cell r="AB18">
            <v>15.238177435204099</v>
          </cell>
        </row>
        <row r="31">
          <cell r="U31">
            <v>3.6227834030864328</v>
          </cell>
          <cell r="V31">
            <v>2231.9887869362497</v>
          </cell>
          <cell r="AA31">
            <v>15.238177435204099</v>
          </cell>
          <cell r="AB31">
            <v>28.817245497341275</v>
          </cell>
        </row>
      </sheetData>
      <sheetData sheetId="28">
        <row r="47">
          <cell r="U47">
            <v>8.9938439811660409</v>
          </cell>
          <cell r="V47">
            <v>4650.4159081036732</v>
          </cell>
          <cell r="AA47">
            <v>3.000298043468363</v>
          </cell>
          <cell r="AB47">
            <v>34.245144679532075</v>
          </cell>
        </row>
      </sheetData>
      <sheetData sheetId="29">
        <row r="38">
          <cell r="U38">
            <v>12.615171356591715</v>
          </cell>
          <cell r="V38">
            <v>5496.8074382853383</v>
          </cell>
          <cell r="AA38">
            <v>96.480903129398968</v>
          </cell>
          <cell r="AB38">
            <v>139.45607682790211</v>
          </cell>
        </row>
      </sheetData>
      <sheetData sheetId="30">
        <row r="32">
          <cell r="U32">
            <v>4.0295457582788785</v>
          </cell>
          <cell r="V32">
            <v>1250.3116978825649</v>
          </cell>
          <cell r="AA32">
            <v>94.265904889578792</v>
          </cell>
          <cell r="AB32">
            <v>110.12358129848334</v>
          </cell>
        </row>
      </sheetData>
      <sheetData sheetId="31">
        <row r="17">
          <cell r="P17">
            <v>0.12131738464582781</v>
          </cell>
          <cell r="Q17">
            <v>65.666237713726204</v>
          </cell>
          <cell r="Y17">
            <v>2.8623332773327608</v>
          </cell>
          <cell r="AA17">
            <v>28.159305915528861</v>
          </cell>
        </row>
        <row r="23">
          <cell r="AB23">
            <v>31.045902669790788</v>
          </cell>
        </row>
        <row r="35">
          <cell r="U35">
            <v>6.4650156527520188</v>
          </cell>
          <cell r="V35">
            <v>3041.2090900750973</v>
          </cell>
          <cell r="AB35">
            <v>51.674931949347538</v>
          </cell>
        </row>
      </sheetData>
      <sheetData sheetId="32">
        <row r="29">
          <cell r="AB29">
            <v>23.29735629210121</v>
          </cell>
        </row>
        <row r="36">
          <cell r="AB36">
            <v>31.603422333162293</v>
          </cell>
        </row>
      </sheetData>
      <sheetData sheetId="33">
        <row r="18">
          <cell r="AB18">
            <v>10.720870382364856</v>
          </cell>
        </row>
        <row r="30">
          <cell r="U30">
            <v>10.907387185798033</v>
          </cell>
          <cell r="V30">
            <v>6108.9499933678617</v>
          </cell>
          <cell r="AA30">
            <v>39.329822549500435</v>
          </cell>
          <cell r="AB30">
            <v>76.014511380027685</v>
          </cell>
        </row>
      </sheetData>
      <sheetData sheetId="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78.777159258660191</v>
          </cell>
          <cell r="V19">
            <v>39684.294535369256</v>
          </cell>
          <cell r="AB19">
            <v>380.43318207877883</v>
          </cell>
        </row>
        <row r="25">
          <cell r="U25">
            <v>86.333874156062308</v>
          </cell>
          <cell r="V25">
            <v>44016.599124031884</v>
          </cell>
          <cell r="AB25">
            <v>396.07672822101523</v>
          </cell>
        </row>
        <row r="41">
          <cell r="U41">
            <v>107.69446130650957</v>
          </cell>
          <cell r="V41">
            <v>54134.038655621436</v>
          </cell>
          <cell r="AA41">
            <v>178.8201328165006</v>
          </cell>
          <cell r="AB41">
            <v>440.80376948343928</v>
          </cell>
        </row>
      </sheetData>
      <sheetData sheetId="3">
        <row r="23">
          <cell r="AB23">
            <v>337.2049370705339</v>
          </cell>
        </row>
        <row r="26">
          <cell r="U26">
            <v>65.929472612453594</v>
          </cell>
          <cell r="V26">
            <v>32762.187739887937</v>
          </cell>
          <cell r="AA26">
            <v>163.16679095819597</v>
          </cell>
          <cell r="AB26">
            <v>337.2049370705339</v>
          </cell>
        </row>
      </sheetData>
      <sheetData sheetId="4">
        <row r="20">
          <cell r="U20">
            <v>41.039011333690496</v>
          </cell>
          <cell r="V20">
            <v>20204.797478843357</v>
          </cell>
          <cell r="AA20">
            <v>154.7399151091621</v>
          </cell>
          <cell r="AB20">
            <v>271.62038031238848</v>
          </cell>
        </row>
      </sheetData>
      <sheetData sheetId="5">
        <row r="24">
          <cell r="U24">
            <v>2.9892288979182324</v>
          </cell>
          <cell r="V24">
            <v>1553.1010579270824</v>
          </cell>
          <cell r="AA24">
            <v>49.190155031618026</v>
          </cell>
          <cell r="AB24">
            <v>60.754227793742452</v>
          </cell>
        </row>
        <row r="42">
          <cell r="U42">
            <v>5.9784577958364649</v>
          </cell>
          <cell r="V42">
            <v>3106.2021158541647</v>
          </cell>
          <cell r="AA42">
            <v>98.380310063236053</v>
          </cell>
          <cell r="AB42">
            <v>120.07927508736893</v>
          </cell>
        </row>
      </sheetData>
      <sheetData sheetId="6">
        <row r="17">
          <cell r="U17">
            <v>2.9683960483723415</v>
          </cell>
          <cell r="V17">
            <v>1514.1064115659287</v>
          </cell>
          <cell r="AA17">
            <v>59.775130213731245</v>
          </cell>
        </row>
        <row r="19">
          <cell r="AB19">
            <v>71.282453849376211</v>
          </cell>
        </row>
      </sheetData>
      <sheetData sheetId="7">
        <row r="48">
          <cell r="U48">
            <v>29.720494178191231</v>
          </cell>
          <cell r="V48">
            <v>14415.763693341833</v>
          </cell>
          <cell r="AA48">
            <v>7.1694500143080022</v>
          </cell>
          <cell r="AB48">
            <v>96.200347445323573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5.9992906453823549</v>
          </cell>
          <cell r="V25">
            <v>3145.1967622153179</v>
          </cell>
          <cell r="AA25">
            <v>87.795334881122841</v>
          </cell>
          <cell r="AB25">
            <v>109.54207206543342</v>
          </cell>
        </row>
      </sheetData>
      <sheetData sheetId="10">
        <row r="17">
          <cell r="P17">
            <v>25.127384051929013</v>
          </cell>
          <cell r="Q17">
            <v>8767.1106347404657</v>
          </cell>
        </row>
        <row r="37">
          <cell r="AB37">
            <v>80.6896915935273</v>
          </cell>
        </row>
      </sheetData>
      <sheetData sheetId="11">
        <row r="22">
          <cell r="U22">
            <v>24.890461278763091</v>
          </cell>
          <cell r="V22">
            <v>12557.390261044578</v>
          </cell>
          <cell r="AA22">
            <v>8.4268758490338911</v>
          </cell>
          <cell r="AB22">
            <v>84.488834692513194</v>
          </cell>
        </row>
      </sheetData>
      <sheetData sheetId="12">
        <row r="30">
          <cell r="U30">
            <v>21.923881558018898</v>
          </cell>
          <cell r="V30">
            <v>11340.757294576591</v>
          </cell>
          <cell r="AA30">
            <v>8.4268758490338911</v>
          </cell>
          <cell r="AB30">
            <v>76.39552767864879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4.6172815683636435</v>
          </cell>
        </row>
      </sheetData>
      <sheetData sheetId="15">
        <row r="21">
          <cell r="U21">
            <v>50.414618396027969</v>
          </cell>
          <cell r="V21">
            <v>19051.810941988511</v>
          </cell>
          <cell r="AA21">
            <v>370.67646748945782</v>
          </cell>
          <cell r="AB21">
            <v>515.55157382184916</v>
          </cell>
        </row>
      </sheetData>
      <sheetData sheetId="16">
        <row r="18">
          <cell r="AB18">
            <v>76.579763111653818</v>
          </cell>
        </row>
        <row r="28">
          <cell r="U28">
            <v>1.2779892169536353</v>
          </cell>
          <cell r="V28">
            <v>518.07173022675261</v>
          </cell>
          <cell r="Y28">
            <v>6.2821217266594234</v>
          </cell>
          <cell r="AA28">
            <v>130.01800803860442</v>
          </cell>
          <cell r="AB28">
            <v>136.55572760865456</v>
          </cell>
        </row>
        <row r="35">
          <cell r="U35">
            <v>9.7876694296866145</v>
          </cell>
          <cell r="V35">
            <v>4189.2332325816833</v>
          </cell>
          <cell r="AA35">
            <v>236.87672435259847</v>
          </cell>
          <cell r="AB35">
            <v>271.28320986422494</v>
          </cell>
        </row>
        <row r="40">
          <cell r="U40">
            <v>33.507590984262485</v>
          </cell>
          <cell r="V40">
            <v>12264.467427599971</v>
          </cell>
          <cell r="AA40">
            <v>241.59586288115074</v>
          </cell>
          <cell r="AB40">
            <v>344.33524884607135</v>
          </cell>
        </row>
        <row r="50">
          <cell r="U50">
            <v>47.99520018083701</v>
          </cell>
          <cell r="V50">
            <v>18326.510519671057</v>
          </cell>
          <cell r="AA50">
            <v>370.67646748945782</v>
          </cell>
          <cell r="AB50">
            <v>509.41272820606559</v>
          </cell>
        </row>
        <row r="85">
          <cell r="AA85">
            <v>98.315367176297173</v>
          </cell>
        </row>
      </sheetData>
      <sheetData sheetId="17">
        <row r="18">
          <cell r="U18">
            <v>4.0863412921438949</v>
          </cell>
          <cell r="V18">
            <v>1102.9914256440541</v>
          </cell>
          <cell r="AB18">
            <v>16.231555591690164</v>
          </cell>
        </row>
        <row r="32">
          <cell r="AB32">
            <v>16.231555591690164</v>
          </cell>
        </row>
        <row r="47">
          <cell r="U47">
            <v>13.65234433562917</v>
          </cell>
          <cell r="V47">
            <v>4555.6888277358958</v>
          </cell>
          <cell r="AA47">
            <v>18.644917553725634</v>
          </cell>
          <cell r="AB47">
            <v>66.18524164797941</v>
          </cell>
        </row>
        <row r="57">
          <cell r="U57">
            <v>4.9424046976062757</v>
          </cell>
          <cell r="V57">
            <v>1159.8121960560204</v>
          </cell>
          <cell r="AA57">
            <v>61.555630016054486</v>
          </cell>
          <cell r="AB57">
            <v>81.115510106237082</v>
          </cell>
        </row>
      </sheetData>
      <sheetData sheetId="18">
        <row r="18">
          <cell r="U18">
            <v>1.6902004567061524</v>
          </cell>
          <cell r="V18">
            <v>691.87643972217938</v>
          </cell>
          <cell r="Y18">
            <v>7.3374400424939363</v>
          </cell>
          <cell r="AA18">
            <v>7.9060619887635699</v>
          </cell>
          <cell r="AB18">
            <v>15.581542122598737</v>
          </cell>
        </row>
        <row r="23">
          <cell r="U23">
            <v>14.617108140805259</v>
          </cell>
          <cell r="V23">
            <v>7523.7384821962605</v>
          </cell>
          <cell r="AA23">
            <v>7.9060619887635699</v>
          </cell>
          <cell r="AB23">
            <v>55.795283998783638</v>
          </cell>
        </row>
      </sheetData>
      <sheetData sheetId="19">
        <row r="29">
          <cell r="U29">
            <v>12.926907684099106</v>
          </cell>
          <cell r="V29">
            <v>6831.8620424740811</v>
          </cell>
          <cell r="AB29">
            <v>42.875857863847436</v>
          </cell>
        </row>
      </sheetData>
      <sheetData sheetId="20">
        <row r="22">
          <cell r="U22">
            <v>23.719921554575869</v>
          </cell>
          <cell r="V22">
            <v>8075.2341950182872</v>
          </cell>
          <cell r="AA22">
            <v>4.7191385285522607</v>
          </cell>
          <cell r="AB22">
            <v>81.720558851695984</v>
          </cell>
        </row>
      </sheetData>
      <sheetData sheetId="21">
        <row r="17">
          <cell r="AA17">
            <v>4.7191385285522607</v>
          </cell>
        </row>
        <row r="19">
          <cell r="AB19">
            <v>4.7191385285522607</v>
          </cell>
        </row>
        <row r="30">
          <cell r="U30">
            <v>13.904277608566412</v>
          </cell>
          <cell r="V30">
            <v>3863.8123880137168</v>
          </cell>
          <cell r="AB30">
            <v>54.034348356989639</v>
          </cell>
        </row>
      </sheetData>
      <sheetData sheetId="22">
        <row r="23">
          <cell r="U23">
            <v>5.8056172798559338</v>
          </cell>
          <cell r="V23">
            <v>2551.9210711491978</v>
          </cell>
          <cell r="AA23">
            <v>106.85871631399405</v>
          </cell>
          <cell r="AB23">
            <v>128.3460517869278</v>
          </cell>
        </row>
        <row r="36">
          <cell r="U36">
            <v>7.5973087348976787</v>
          </cell>
          <cell r="V36">
            <v>3188.6479395891738</v>
          </cell>
          <cell r="AB36">
            <v>134.35921155397415</v>
          </cell>
        </row>
      </sheetData>
      <sheetData sheetId="23">
        <row r="18">
          <cell r="AB18">
            <v>106.31719867362605</v>
          </cell>
        </row>
        <row r="27">
          <cell r="U27">
            <v>5.2083867948420188</v>
          </cell>
          <cell r="V27">
            <v>2339.6787816692058</v>
          </cell>
          <cell r="AA27">
            <v>86.880393376326907</v>
          </cell>
          <cell r="AB27">
            <v>106.31719867362605</v>
          </cell>
        </row>
        <row r="33">
          <cell r="AB33">
            <v>19.978322937667137</v>
          </cell>
        </row>
      </sheetData>
      <sheetData sheetId="24">
        <row r="25">
          <cell r="U25">
            <v>3.2932085070046666</v>
          </cell>
          <cell r="V25">
            <v>1340.403458457148</v>
          </cell>
          <cell r="AA25">
            <v>59.443061619621105</v>
          </cell>
          <cell r="AB25">
            <v>72.333857701915349</v>
          </cell>
        </row>
        <row r="29">
          <cell r="U29">
            <v>5.0306687728857842</v>
          </cell>
          <cell r="V29">
            <v>1841.7631973862635</v>
          </cell>
          <cell r="AA29">
            <v>71.13056451929917</v>
          </cell>
          <cell r="AB29">
            <v>90.314247928321606</v>
          </cell>
        </row>
        <row r="33">
          <cell r="U33">
            <v>7.9278536539471274</v>
          </cell>
          <cell r="V33">
            <v>3108.5321377471619</v>
          </cell>
          <cell r="AA33">
            <v>71.13056451929917</v>
          </cell>
          <cell r="AB33">
            <v>99.902702731126197</v>
          </cell>
        </row>
      </sheetData>
      <sheetData sheetId="25">
        <row r="29">
          <cell r="U29">
            <v>1.7374602658811171</v>
          </cell>
          <cell r="V29">
            <v>501.35973892911551</v>
          </cell>
          <cell r="Y29">
            <v>7.867294885994335</v>
          </cell>
          <cell r="AA29">
            <v>11.687502899678062</v>
          </cell>
          <cell r="AB29">
            <v>19.90228983884862</v>
          </cell>
        </row>
      </sheetData>
      <sheetData sheetId="26">
        <row r="17">
          <cell r="AA17">
            <v>27.316345423103218</v>
          </cell>
        </row>
        <row r="33">
          <cell r="U33">
            <v>2.3947138578713814</v>
          </cell>
          <cell r="V33">
            <v>1032.8010621939779</v>
          </cell>
          <cell r="AB33">
            <v>36.873455298598365</v>
          </cell>
        </row>
      </sheetData>
      <sheetData sheetId="27">
        <row r="18">
          <cell r="AB18">
            <v>15.534211722093678</v>
          </cell>
        </row>
        <row r="31">
          <cell r="U31">
            <v>3.695945930927429</v>
          </cell>
          <cell r="V31">
            <v>2249.4340286619649</v>
          </cell>
          <cell r="AA31">
            <v>15.534211722093678</v>
          </cell>
          <cell r="AB31">
            <v>29.377531942052457</v>
          </cell>
        </row>
      </sheetData>
      <sheetData sheetId="28">
        <row r="47">
          <cell r="U47">
            <v>9.075198318558428</v>
          </cell>
          <cell r="V47">
            <v>4663.6877710510234</v>
          </cell>
          <cell r="AA47">
            <v>3.0143014769631931</v>
          </cell>
          <cell r="AB47">
            <v>34.531472546330484</v>
          </cell>
        </row>
      </sheetData>
      <sheetData sheetId="29">
        <row r="38">
          <cell r="U38">
            <v>12.721725992586654</v>
          </cell>
          <cell r="V38">
            <v>5513.889777508587</v>
          </cell>
          <cell r="AA38">
            <v>98.315367176297173</v>
          </cell>
          <cell r="AB38">
            <v>141.63743544969637</v>
          </cell>
        </row>
      </sheetData>
      <sheetData sheetId="30">
        <row r="32">
          <cell r="U32">
            <v>4.1109228987050725</v>
          </cell>
          <cell r="V32">
            <v>1260.0841438418436</v>
          </cell>
          <cell r="AA32">
            <v>96.07309588419551</v>
          </cell>
          <cell r="AB32">
            <v>112.2414460689958</v>
          </cell>
        </row>
      </sheetData>
      <sheetData sheetId="31">
        <row r="17">
          <cell r="P17">
            <v>0.12376740319349633</v>
          </cell>
          <cell r="Q17">
            <v>66.179485538643249</v>
          </cell>
          <cell r="Y17">
            <v>2.8756422324391435</v>
          </cell>
          <cell r="AA17">
            <v>28.703219617149756</v>
          </cell>
        </row>
        <row r="23">
          <cell r="AB23">
            <v>31.603615330227598</v>
          </cell>
        </row>
        <row r="35">
          <cell r="U35">
            <v>6.5955773880420683</v>
          </cell>
          <cell r="V35">
            <v>3064.9792039866593</v>
          </cell>
          <cell r="AB35">
            <v>52.674731957904584</v>
          </cell>
        </row>
      </sheetData>
      <sheetData sheetId="32">
        <row r="29">
          <cell r="AB29">
            <v>23.707294384922555</v>
          </cell>
        </row>
        <row r="36">
          <cell r="AB36">
            <v>32.166468436922742</v>
          </cell>
        </row>
      </sheetData>
      <sheetData sheetId="33">
        <row r="18">
          <cell r="AB18">
            <v>10.930925488835532</v>
          </cell>
        </row>
        <row r="30">
          <cell r="U30">
            <v>11.127663125555737</v>
          </cell>
          <cell r="V30">
            <v>6156.6975940495377</v>
          </cell>
          <cell r="AA30">
            <v>40.093607209965995</v>
          </cell>
          <cell r="AB30">
            <v>77.48334199520383</v>
          </cell>
        </row>
      </sheetData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80.356467404464524</v>
          </cell>
          <cell r="V19">
            <v>39993.392952267626</v>
          </cell>
          <cell r="AB19">
            <v>387.50214011981694</v>
          </cell>
        </row>
        <row r="25">
          <cell r="U25">
            <v>88.032730398677444</v>
          </cell>
          <cell r="V25">
            <v>44352.512277677939</v>
          </cell>
          <cell r="AB25">
            <v>403.36326032105217</v>
          </cell>
        </row>
        <row r="41">
          <cell r="U41">
            <v>109.82155016887552</v>
          </cell>
          <cell r="V41">
            <v>54548.755894835704</v>
          </cell>
          <cell r="AA41">
            <v>182.1062514309711</v>
          </cell>
          <cell r="AB41">
            <v>448.92991805509837</v>
          </cell>
        </row>
      </sheetData>
      <sheetData sheetId="3">
        <row r="23">
          <cell r="AB23">
            <v>343.45646921741434</v>
          </cell>
        </row>
        <row r="26">
          <cell r="U26">
            <v>67.251213001740155</v>
          </cell>
          <cell r="V26">
            <v>33017.37031231595</v>
          </cell>
          <cell r="AA26">
            <v>166.15027315777135</v>
          </cell>
          <cell r="AB26">
            <v>343.45646921741434</v>
          </cell>
        </row>
      </sheetData>
      <sheetData sheetId="4">
        <row r="20">
          <cell r="U20">
            <v>41.861752919005134</v>
          </cell>
          <cell r="V20">
            <v>20362.171346454797</v>
          </cell>
          <cell r="AA20">
            <v>157.6831922059084</v>
          </cell>
          <cell r="AB20">
            <v>276.76525341970762</v>
          </cell>
        </row>
      </sheetData>
      <sheetData sheetId="5">
        <row r="24">
          <cell r="U24">
            <v>3.0491563387219194</v>
          </cell>
          <cell r="V24">
            <v>1565.1980621427067</v>
          </cell>
          <cell r="AA24">
            <v>50.124681409308721</v>
          </cell>
          <cell r="AB24">
            <v>61.913082170347792</v>
          </cell>
        </row>
        <row r="42">
          <cell r="U42">
            <v>6.0983126774438388</v>
          </cell>
          <cell r="V42">
            <v>3130.3961242854134</v>
          </cell>
          <cell r="AA42">
            <v>100.24936281861744</v>
          </cell>
          <cell r="AB42">
            <v>122.36575165985471</v>
          </cell>
        </row>
      </sheetData>
      <sheetData sheetId="6">
        <row r="17">
          <cell r="U17">
            <v>3.02790583653029</v>
          </cell>
          <cell r="V17">
            <v>1525.8996889899129</v>
          </cell>
          <cell r="AA17">
            <v>60.907852669831222</v>
          </cell>
        </row>
        <row r="19">
          <cell r="AB19">
            <v>72.638468651194444</v>
          </cell>
        </row>
      </sheetData>
      <sheetData sheetId="7">
        <row r="48">
          <cell r="U48">
            <v>30.316324479698174</v>
          </cell>
          <cell r="V48">
            <v>14528.047149257163</v>
          </cell>
          <cell r="AA48">
            <v>7.3091479779822288</v>
          </cell>
          <cell r="AB48">
            <v>98.022075736315003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6.1195631796354677</v>
          </cell>
          <cell r="V25">
            <v>3169.6944974382077</v>
          </cell>
          <cell r="AA25">
            <v>89.466191558094934</v>
          </cell>
          <cell r="AB25">
            <v>111.6312064073289</v>
          </cell>
        </row>
      </sheetData>
      <sheetData sheetId="10">
        <row r="17">
          <cell r="P17">
            <v>25.631132634505661</v>
          </cell>
          <cell r="Q17">
            <v>8835.3970954095839</v>
          </cell>
        </row>
        <row r="37">
          <cell r="AB37">
            <v>82.22225210615251</v>
          </cell>
        </row>
      </sheetData>
      <sheetData sheetId="11">
        <row r="22">
          <cell r="U22">
            <v>25.389460082735024</v>
          </cell>
          <cell r="V22">
            <v>12655.198965861155</v>
          </cell>
          <cell r="AA22">
            <v>8.4670809518629522</v>
          </cell>
          <cell r="AB22">
            <v>85.968036180399494</v>
          </cell>
        </row>
      </sheetData>
      <sheetData sheetId="12">
        <row r="30">
          <cell r="U30">
            <v>22.363406987192359</v>
          </cell>
          <cell r="V30">
            <v>11429.089723493984</v>
          </cell>
          <cell r="AA30">
            <v>8.4670809518629522</v>
          </cell>
          <cell r="AB30">
            <v>77.722989425427144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4.6574866711927045</v>
          </cell>
        </row>
      </sheetData>
      <sheetData sheetId="15">
        <row r="21">
          <cell r="U21">
            <v>51.25990015846849</v>
          </cell>
          <cell r="V21">
            <v>19170.654896603279</v>
          </cell>
          <cell r="AA21">
            <v>377.28298525378415</v>
          </cell>
          <cell r="AB21">
            <v>524.44797075525423</v>
          </cell>
        </row>
      </sheetData>
      <sheetData sheetId="16">
        <row r="18">
          <cell r="AB18">
            <v>78.03910815284334</v>
          </cell>
        </row>
        <row r="28">
          <cell r="U28">
            <v>1.3036100796450392</v>
          </cell>
          <cell r="V28">
            <v>522.10695760140504</v>
          </cell>
          <cell r="Y28">
            <v>6.3614883135385778</v>
          </cell>
          <cell r="AA28">
            <v>132.49248600750684</v>
          </cell>
          <cell r="AB28">
            <v>139.11469633697442</v>
          </cell>
        </row>
        <row r="35">
          <cell r="U35">
            <v>9.9655995617668491</v>
          </cell>
          <cell r="V35">
            <v>4218.1046336041982</v>
          </cell>
          <cell r="AA35">
            <v>240.99542900814893</v>
          </cell>
          <cell r="AB35">
            <v>276.0005551477974</v>
          </cell>
        </row>
        <row r="40">
          <cell r="U40">
            <v>34.161053182762885</v>
          </cell>
          <cell r="V40">
            <v>12356.236308217069</v>
          </cell>
          <cell r="AA40">
            <v>245.74992555421508</v>
          </cell>
          <cell r="AB40">
            <v>350.38199042712779</v>
          </cell>
        </row>
        <row r="50">
          <cell r="U50">
            <v>48.791977948828936</v>
          </cell>
          <cell r="V50">
            <v>18439.70515596131</v>
          </cell>
          <cell r="AA50">
            <v>377.28298525378415</v>
          </cell>
          <cell r="AB50">
            <v>518.19115002148192</v>
          </cell>
        </row>
        <row r="85">
          <cell r="AA85">
            <v>100.17051356459926</v>
          </cell>
        </row>
      </sheetData>
      <sheetData sheetId="17">
        <row r="18">
          <cell r="U18">
            <v>4.1682634146214195</v>
          </cell>
          <cell r="V18">
            <v>1111.582554893314</v>
          </cell>
          <cell r="AB18">
            <v>16.547629902148106</v>
          </cell>
        </row>
        <row r="32">
          <cell r="AB32">
            <v>16.547629902148106</v>
          </cell>
        </row>
        <row r="47">
          <cell r="U47">
            <v>13.926043702571175</v>
          </cell>
          <cell r="V47">
            <v>4591.1727949078395</v>
          </cell>
          <cell r="AA47">
            <v>18.943762817380879</v>
          </cell>
          <cell r="AB47">
            <v>67.394240916812905</v>
          </cell>
        </row>
        <row r="57">
          <cell r="U57">
            <v>5.0414890016386416</v>
          </cell>
          <cell r="V57">
            <v>1168.8458986302423</v>
          </cell>
          <cell r="AA57">
            <v>62.731443337901027</v>
          </cell>
          <cell r="AB57">
            <v>82.67200275765785</v>
          </cell>
        </row>
      </sheetData>
      <sheetData sheetId="18">
        <row r="18">
          <cell r="U18">
            <v>1.7240852448152737</v>
          </cell>
          <cell r="V18">
            <v>697.26542079671515</v>
          </cell>
          <cell r="Y18">
            <v>7.4464064763143352</v>
          </cell>
          <cell r="AA18">
            <v>8.0599904426117472</v>
          </cell>
          <cell r="AB18">
            <v>15.851213967889137</v>
          </cell>
        </row>
        <row r="23">
          <cell r="U23">
            <v>14.910148892364713</v>
          </cell>
          <cell r="V23">
            <v>7582.3403971662119</v>
          </cell>
          <cell r="AA23">
            <v>8.0599904426117472</v>
          </cell>
          <cell r="AB23">
            <v>56.860415160994904</v>
          </cell>
        </row>
      </sheetData>
      <sheetData sheetId="19">
        <row r="29">
          <cell r="U29">
            <v>13.186063647549439</v>
          </cell>
          <cell r="V29">
            <v>6885.0749763694967</v>
          </cell>
          <cell r="AB29">
            <v>43.692613584122626</v>
          </cell>
        </row>
      </sheetData>
      <sheetData sheetId="20">
        <row r="22">
          <cell r="U22">
            <v>24.195453620996037</v>
          </cell>
          <cell r="V22">
            <v>8138.1316746128705</v>
          </cell>
          <cell r="AA22">
            <v>4.7544965460661528</v>
          </cell>
          <cell r="AB22">
            <v>83.219822923641573</v>
          </cell>
        </row>
      </sheetData>
      <sheetData sheetId="21">
        <row r="17">
          <cell r="AA17">
            <v>4.7544965460661528</v>
          </cell>
        </row>
        <row r="19">
          <cell r="AB19">
            <v>4.7544965460661528</v>
          </cell>
        </row>
        <row r="30">
          <cell r="U30">
            <v>14.183027681498491</v>
          </cell>
          <cell r="V30">
            <v>3893.9073741111247</v>
          </cell>
          <cell r="AB30">
            <v>55.015794170567879</v>
          </cell>
        </row>
      </sheetData>
      <sheetData sheetId="22">
        <row r="23">
          <cell r="U23">
            <v>5.9220070906562121</v>
          </cell>
          <cell r="V23">
            <v>2571.797820184986</v>
          </cell>
          <cell r="AA23">
            <v>108.50294300064209</v>
          </cell>
          <cell r="AB23">
            <v>130.40463979935248</v>
          </cell>
        </row>
        <row r="36">
          <cell r="U36">
            <v>7.7496180042865088</v>
          </cell>
          <cell r="V36">
            <v>3213.4841132370357</v>
          </cell>
          <cell r="AB36">
            <v>136.53229328352177</v>
          </cell>
        </row>
      </sheetData>
      <sheetData sheetId="23">
        <row r="18">
          <cell r="AB18">
            <v>107.94805842016773</v>
          </cell>
        </row>
        <row r="27">
          <cell r="U27">
            <v>5.3128034527794457</v>
          </cell>
          <cell r="V27">
            <v>2357.9023891676361</v>
          </cell>
          <cell r="AA27">
            <v>88.136035178004107</v>
          </cell>
          <cell r="AB27">
            <v>107.94805842016773</v>
          </cell>
        </row>
        <row r="33">
          <cell r="AB33">
            <v>20.366907822637984</v>
          </cell>
        </row>
      </sheetData>
      <sheetData sheetId="24">
        <row r="25">
          <cell r="U25">
            <v>3.3412172336228596</v>
          </cell>
          <cell r="V25">
            <v>1348.4478794814549</v>
          </cell>
          <cell r="AA25">
            <v>60.253655796625083</v>
          </cell>
          <cell r="AB25">
            <v>73.326279618013615</v>
          </cell>
        </row>
        <row r="29">
          <cell r="U29">
            <v>5.1135097424629752</v>
          </cell>
          <cell r="V29">
            <v>1853.7126771602341</v>
          </cell>
          <cell r="AA29">
            <v>72.143703151711165</v>
          </cell>
          <cell r="AB29">
            <v>91.632332485755896</v>
          </cell>
        </row>
        <row r="33">
          <cell r="U33">
            <v>8.068776784973398</v>
          </cell>
          <cell r="V33">
            <v>3130.3483992952824</v>
          </cell>
          <cell r="AA33">
            <v>72.143703151711165</v>
          </cell>
          <cell r="AB33">
            <v>101.40630305869996</v>
          </cell>
        </row>
      </sheetData>
      <sheetData sheetId="25">
        <row r="29">
          <cell r="U29">
            <v>1.772292508840116</v>
          </cell>
          <cell r="V29">
            <v>505.26479767877919</v>
          </cell>
          <cell r="Y29">
            <v>7.9809454778711189</v>
          </cell>
          <cell r="AA29">
            <v>11.890047355086086</v>
          </cell>
          <cell r="AB29">
            <v>20.225451334725228</v>
          </cell>
        </row>
      </sheetData>
      <sheetData sheetId="26">
        <row r="17">
          <cell r="AA17">
            <v>27.83892248866302</v>
          </cell>
        </row>
        <row r="33">
          <cell r="U33">
            <v>2.4427225844895744</v>
          </cell>
          <cell r="V33">
            <v>1040.8454832182849</v>
          </cell>
          <cell r="AB33">
            <v>37.582267032400694</v>
          </cell>
        </row>
      </sheetData>
      <sheetData sheetId="27">
        <row r="18">
          <cell r="AB18">
            <v>15.833722763708032</v>
          </cell>
        </row>
        <row r="31">
          <cell r="U31">
            <v>3.7700414881942312</v>
          </cell>
          <cell r="V31">
            <v>2266.9547255854559</v>
          </cell>
          <cell r="AA31">
            <v>15.833722763708032</v>
          </cell>
          <cell r="AB31">
            <v>29.944409443973491</v>
          </cell>
        </row>
      </sheetData>
      <sheetData sheetId="28">
        <row r="47">
          <cell r="U47">
            <v>9.1575901541475559</v>
          </cell>
          <cell r="V47">
            <v>4677.0170382498745</v>
          </cell>
          <cell r="AA47">
            <v>3.0282525670395777</v>
          </cell>
          <cell r="AB47">
            <v>34.821145626170583</v>
          </cell>
        </row>
      </sheetData>
      <sheetData sheetId="29">
        <row r="38">
          <cell r="U38">
            <v>12.829639501952608</v>
          </cell>
          <cell r="V38">
            <v>5531.0460022821098</v>
          </cell>
          <cell r="AA38">
            <v>100.17051356459926</v>
          </cell>
          <cell r="AB38">
            <v>143.84380625236568</v>
          </cell>
        </row>
      </sheetData>
      <sheetData sheetId="30">
        <row r="32">
          <cell r="U32">
            <v>4.1933378281312663</v>
          </cell>
          <cell r="V32">
            <v>1269.8988581659983</v>
          </cell>
          <cell r="AA32">
            <v>97.90096386474255</v>
          </cell>
          <cell r="AB32">
            <v>114.38370044814411</v>
          </cell>
        </row>
      </sheetData>
      <sheetData sheetId="31">
        <row r="17">
          <cell r="P17">
            <v>0.12624866641608518</v>
          </cell>
          <cell r="Q17">
            <v>66.694953293598843</v>
          </cell>
          <cell r="Y17">
            <v>2.8889026982881534</v>
          </cell>
          <cell r="AA17">
            <v>29.253447698079345</v>
          </cell>
        </row>
        <row r="23">
          <cell r="AB23">
            <v>32.167600129650715</v>
          </cell>
        </row>
        <row r="35">
          <cell r="U35">
            <v>6.7278041552071022</v>
          </cell>
          <cell r="V35">
            <v>3088.852129809603</v>
          </cell>
          <cell r="AB35">
            <v>53.686177797973166</v>
          </cell>
        </row>
      </sheetData>
      <sheetData sheetId="32">
        <row r="29">
          <cell r="AB29">
            <v>24.122415375004216</v>
          </cell>
        </row>
        <row r="36">
          <cell r="AB36">
            <v>32.737054334656705</v>
          </cell>
        </row>
      </sheetData>
      <sheetData sheetId="33">
        <row r="18">
          <cell r="AB18">
            <v>11.143491262415264</v>
          </cell>
        </row>
        <row r="30">
          <cell r="U30">
            <v>11.35074820736547</v>
          </cell>
          <cell r="V30">
            <v>6204.6517154954072</v>
          </cell>
          <cell r="AA30">
            <v>40.866359514738427</v>
          </cell>
          <cell r="AB30">
            <v>78.969245421130211</v>
          </cell>
        </row>
      </sheetData>
      <sheetData sheetId="3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>
        <row r="5">
          <cell r="A5" t="str">
            <v>Verificación Colector Bosque Sur y Guacamayo</v>
          </cell>
          <cell r="E5">
            <v>641.66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</row>
        <row r="6">
          <cell r="A6" t="str">
            <v>Verificación Colector Balmaceda</v>
          </cell>
          <cell r="E6">
            <v>1259.8400000000001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125.48</v>
          </cell>
          <cell r="O6">
            <v>125.48</v>
          </cell>
          <cell r="P6">
            <v>125.48</v>
          </cell>
          <cell r="Q6">
            <v>125.48</v>
          </cell>
          <cell r="R6">
            <v>125.48</v>
          </cell>
          <cell r="S6">
            <v>125.48</v>
          </cell>
          <cell r="T6">
            <v>125.48</v>
          </cell>
          <cell r="U6">
            <v>125.48</v>
          </cell>
          <cell r="V6">
            <v>125.48</v>
          </cell>
          <cell r="W6">
            <v>125.48</v>
          </cell>
          <cell r="X6">
            <v>125.48</v>
          </cell>
        </row>
        <row r="7">
          <cell r="A7" t="str">
            <v>Verificación Colector Ecuador I y Ecuador II</v>
          </cell>
          <cell r="E7">
            <v>881.65000000000009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</row>
        <row r="8">
          <cell r="A8" t="str">
            <v>Verificación Colector Simpson</v>
          </cell>
          <cell r="E8">
            <v>923.3900000000001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</row>
        <row r="9">
          <cell r="A9" t="str">
            <v>Verificación Colector Bueras - Simpson</v>
          </cell>
          <cell r="E9">
            <v>1586.6799999999998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A10" t="str">
            <v>Verificación Colector Solis</v>
          </cell>
          <cell r="E10">
            <v>1680.5699999999997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A11" t="str">
            <v>Verificación Colector El Romance y Pedro Aguirre Cerda Norte</v>
          </cell>
          <cell r="E11">
            <v>595.61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</row>
        <row r="12">
          <cell r="A12" t="str">
            <v>Verificación Colector Pedro Aguirre Cerda I</v>
          </cell>
          <cell r="E12">
            <v>1034.21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A13" t="str">
            <v>Verificación Colector España</v>
          </cell>
          <cell r="E13">
            <v>671.38300000000004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  <row r="14">
          <cell r="A14" t="str">
            <v>Verificación Colector Pedro Aguirre Cerda II, III y IV</v>
          </cell>
          <cell r="E14">
            <v>954.25000000000011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</row>
        <row r="15">
          <cell r="A15" t="str">
            <v>Verificación Colector Montt - Baquedano</v>
          </cell>
          <cell r="E15">
            <v>623.46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593.63</v>
          </cell>
          <cell r="S15">
            <v>593.63</v>
          </cell>
          <cell r="T15">
            <v>593.63</v>
          </cell>
          <cell r="U15">
            <v>593.63</v>
          </cell>
          <cell r="V15">
            <v>593.63</v>
          </cell>
          <cell r="W15">
            <v>593.63</v>
          </cell>
          <cell r="X15">
            <v>593.63</v>
          </cell>
        </row>
        <row r="16">
          <cell r="A16" t="str">
            <v>Verificación Colector Baquedano</v>
          </cell>
          <cell r="E16">
            <v>1289.8899999999999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208.67</v>
          </cell>
          <cell r="Q16">
            <v>448.12</v>
          </cell>
          <cell r="R16">
            <v>448.12</v>
          </cell>
          <cell r="S16">
            <v>448.12</v>
          </cell>
          <cell r="T16">
            <v>448.12</v>
          </cell>
          <cell r="U16">
            <v>448.12</v>
          </cell>
          <cell r="V16">
            <v>448.12</v>
          </cell>
          <cell r="W16">
            <v>448.12</v>
          </cell>
          <cell r="X16">
            <v>448.12</v>
          </cell>
        </row>
        <row r="17">
          <cell r="A17" t="str">
            <v>Verificación Colector Escobar Phillipi I y Escobar Phillipi II</v>
          </cell>
          <cell r="E17">
            <v>942.85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A18" t="str">
            <v>Verificación Colector Domeyko</v>
          </cell>
          <cell r="E18">
            <v>394.13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A19" t="str">
            <v>Verificación Colector Los Avellanos</v>
          </cell>
          <cell r="E19">
            <v>791.16000000000008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 t="str">
            <v>Verificación Colector Los Pelues I y Los Pelues II</v>
          </cell>
          <cell r="E20">
            <v>334.24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A21" t="str">
            <v>Verificación Colector Janequeo I, II, III y IV</v>
          </cell>
          <cell r="E21">
            <v>1233.9599999999998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A22" t="str">
            <v>Verificación Colector General Lagos I, II, III, IV y V</v>
          </cell>
          <cell r="E22">
            <v>1898.97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675.53</v>
          </cell>
          <cell r="P22">
            <v>675.53</v>
          </cell>
          <cell r="Q22">
            <v>675.53</v>
          </cell>
          <cell r="R22">
            <v>675.53</v>
          </cell>
          <cell r="S22">
            <v>990</v>
          </cell>
          <cell r="T22">
            <v>990</v>
          </cell>
          <cell r="U22">
            <v>990</v>
          </cell>
          <cell r="V22">
            <v>990</v>
          </cell>
          <cell r="W22">
            <v>990</v>
          </cell>
          <cell r="X22">
            <v>990</v>
          </cell>
        </row>
        <row r="23">
          <cell r="A23" t="str">
            <v>Verificación Colector Miraflores</v>
          </cell>
          <cell r="E23">
            <v>332.93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A24" t="str">
            <v>Verificación Colector CUT</v>
          </cell>
          <cell r="E24">
            <v>704.24099999999987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 t="str">
            <v>Verificación Colector San Francisco</v>
          </cell>
          <cell r="E25">
            <v>1024.3399999999997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A26" t="str">
            <v>Verificación Colector Francia I</v>
          </cell>
          <cell r="E26">
            <v>1126.9799999999998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</row>
        <row r="27">
          <cell r="A27" t="str">
            <v>Verificación Colector Francia II</v>
          </cell>
          <cell r="E27">
            <v>363.96000000000004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A28" t="str">
            <v>Verificación Colector Circunvalación Sur</v>
          </cell>
          <cell r="E28">
            <v>1383.7599999999998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A29" t="str">
            <v>Verificación Colector San Miguel</v>
          </cell>
          <cell r="E29">
            <v>512.08000000000004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A30" t="str">
            <v>Verificación Colector San Pablo</v>
          </cell>
          <cell r="E30">
            <v>678.38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A31" t="str">
            <v>Verificación Colector Ruben Darío</v>
          </cell>
          <cell r="E31">
            <v>1892.0159999999998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A32" t="str">
            <v>Verificación Colector San Luis I</v>
          </cell>
          <cell r="E32">
            <v>178.69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A33" t="str">
            <v>Verificación Colector San Luis II y Krahmer - San Pedro</v>
          </cell>
          <cell r="E33">
            <v>1119.27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A34" t="str">
            <v>Verificación Colector San Luis III (o Krahmer - San Jorge)</v>
          </cell>
          <cell r="E34">
            <v>145.91999999999999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A35" t="str">
            <v>Verificación Colector Krahmer I</v>
          </cell>
          <cell r="E35">
            <v>532.26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207.49</v>
          </cell>
          <cell r="T35">
            <v>207.49</v>
          </cell>
          <cell r="U35">
            <v>207.49</v>
          </cell>
          <cell r="V35">
            <v>207.49</v>
          </cell>
          <cell r="W35">
            <v>207.49</v>
          </cell>
          <cell r="X35">
            <v>207.49</v>
          </cell>
        </row>
        <row r="36">
          <cell r="A36" t="str">
            <v>Verificación Colector Krahmer II</v>
          </cell>
          <cell r="E36">
            <v>2261.41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162.9</v>
          </cell>
          <cell r="T36">
            <v>460.72</v>
          </cell>
          <cell r="U36">
            <v>460.72</v>
          </cell>
          <cell r="V36">
            <v>460.72</v>
          </cell>
          <cell r="W36">
            <v>460.72</v>
          </cell>
          <cell r="X36">
            <v>751.38</v>
          </cell>
        </row>
      </sheetData>
      <sheetData sheetId="1" refreshError="1"/>
      <sheetData sheetId="2">
        <row r="17">
          <cell r="F17">
            <v>900</v>
          </cell>
          <cell r="M17">
            <v>113.07</v>
          </cell>
          <cell r="AL17">
            <v>509.71249753268489</v>
          </cell>
        </row>
        <row r="18">
          <cell r="F18">
            <v>900</v>
          </cell>
          <cell r="M18">
            <v>92.17</v>
          </cell>
          <cell r="AL18">
            <v>509.71249753268489</v>
          </cell>
        </row>
        <row r="19">
          <cell r="F19">
            <v>900</v>
          </cell>
          <cell r="M19">
            <v>65.400000000000006</v>
          </cell>
          <cell r="AL19">
            <v>509.71249753268489</v>
          </cell>
        </row>
        <row r="20">
          <cell r="M20">
            <v>38.5</v>
          </cell>
        </row>
        <row r="21">
          <cell r="M21">
            <v>121.91</v>
          </cell>
        </row>
        <row r="22">
          <cell r="M22">
            <v>137.41</v>
          </cell>
        </row>
        <row r="23">
          <cell r="M23">
            <v>31.61</v>
          </cell>
        </row>
        <row r="24">
          <cell r="M24">
            <v>31.93</v>
          </cell>
        </row>
        <row r="25">
          <cell r="M25">
            <v>99.36</v>
          </cell>
        </row>
        <row r="26">
          <cell r="M26">
            <v>59</v>
          </cell>
        </row>
        <row r="27">
          <cell r="M27">
            <v>85.04</v>
          </cell>
        </row>
        <row r="28">
          <cell r="M28">
            <v>25.85</v>
          </cell>
        </row>
        <row r="29">
          <cell r="M29">
            <v>92.1</v>
          </cell>
        </row>
        <row r="30">
          <cell r="M30">
            <v>59.95</v>
          </cell>
        </row>
        <row r="31">
          <cell r="M31">
            <v>79.59</v>
          </cell>
        </row>
        <row r="32">
          <cell r="M32">
            <v>77.459999999999994</v>
          </cell>
        </row>
        <row r="33">
          <cell r="M33">
            <v>127.66</v>
          </cell>
        </row>
        <row r="34">
          <cell r="M34">
            <v>107.85</v>
          </cell>
        </row>
        <row r="35">
          <cell r="M35">
            <v>101.39</v>
          </cell>
        </row>
        <row r="36">
          <cell r="M36">
            <v>80.25</v>
          </cell>
        </row>
        <row r="37">
          <cell r="M37">
            <v>84.1</v>
          </cell>
        </row>
        <row r="38">
          <cell r="M38">
            <v>148.11000000000001</v>
          </cell>
        </row>
        <row r="39">
          <cell r="M39">
            <v>212.43</v>
          </cell>
        </row>
        <row r="40">
          <cell r="M40">
            <v>150.68</v>
          </cell>
        </row>
        <row r="41">
          <cell r="M41">
            <v>38.590000000000003</v>
          </cell>
        </row>
        <row r="85">
          <cell r="E85">
            <v>560</v>
          </cell>
          <cell r="F85">
            <v>516.79999999999995</v>
          </cell>
          <cell r="AL85">
            <v>145.5576569820592</v>
          </cell>
        </row>
      </sheetData>
      <sheetData sheetId="3">
        <row r="19">
          <cell r="N19">
            <v>270.64</v>
          </cell>
          <cell r="U19">
            <v>81.940839540943486</v>
          </cell>
          <cell r="V19">
            <v>40304.355011645152</v>
          </cell>
          <cell r="AB19">
            <v>394.57918784176991</v>
          </cell>
        </row>
        <row r="20">
          <cell r="F20">
            <v>800</v>
          </cell>
          <cell r="M20">
            <v>38.5</v>
          </cell>
          <cell r="AL20">
            <v>371.93033039420106</v>
          </cell>
        </row>
        <row r="21">
          <cell r="F21">
            <v>800</v>
          </cell>
          <cell r="M21">
            <v>121.91</v>
          </cell>
          <cell r="AL21">
            <v>371.93033039420106</v>
          </cell>
        </row>
        <row r="22">
          <cell r="F22">
            <v>800</v>
          </cell>
          <cell r="M22">
            <v>137.41</v>
          </cell>
          <cell r="AL22">
            <v>371.93033039420106</v>
          </cell>
        </row>
        <row r="23">
          <cell r="F23">
            <v>800</v>
          </cell>
          <cell r="M23">
            <v>31.61</v>
          </cell>
          <cell r="AL23">
            <v>371.93033039420106</v>
          </cell>
        </row>
        <row r="24">
          <cell r="F24">
            <v>800</v>
          </cell>
          <cell r="M24">
            <v>31.93</v>
          </cell>
          <cell r="AL24">
            <v>371.93033039420106</v>
          </cell>
        </row>
        <row r="25">
          <cell r="F25">
            <v>800</v>
          </cell>
          <cell r="M25">
            <v>99.36</v>
          </cell>
          <cell r="U25">
            <v>89.737033958330088</v>
          </cell>
          <cell r="V25">
            <v>44690.450747495866</v>
          </cell>
          <cell r="AB25">
            <v>410.6582278519777</v>
          </cell>
          <cell r="AL25">
            <v>371.93033039420106</v>
          </cell>
        </row>
        <row r="26">
          <cell r="F26">
            <v>800</v>
          </cell>
          <cell r="M26">
            <v>59</v>
          </cell>
          <cell r="AL26">
            <v>418.74734099072037</v>
          </cell>
        </row>
        <row r="27">
          <cell r="F27">
            <v>800</v>
          </cell>
          <cell r="M27">
            <v>85.04</v>
          </cell>
          <cell r="AL27">
            <v>418.74734099072037</v>
          </cell>
        </row>
        <row r="28">
          <cell r="F28">
            <v>800</v>
          </cell>
          <cell r="M28">
            <v>25.85</v>
          </cell>
          <cell r="AL28">
            <v>418.74734099072037</v>
          </cell>
        </row>
        <row r="29">
          <cell r="F29">
            <v>800</v>
          </cell>
          <cell r="M29">
            <v>92.1</v>
          </cell>
          <cell r="AL29">
            <v>418.74734099072037</v>
          </cell>
        </row>
        <row r="30">
          <cell r="F30">
            <v>800</v>
          </cell>
          <cell r="M30">
            <v>59.95</v>
          </cell>
          <cell r="AL30">
            <v>418.74734099072037</v>
          </cell>
        </row>
        <row r="31">
          <cell r="F31">
            <v>800</v>
          </cell>
          <cell r="M31">
            <v>79.59</v>
          </cell>
          <cell r="AL31">
            <v>418.74734099072037</v>
          </cell>
        </row>
        <row r="32">
          <cell r="F32">
            <v>800</v>
          </cell>
          <cell r="M32">
            <v>77.459999999999994</v>
          </cell>
          <cell r="AL32">
            <v>418.74734099072037</v>
          </cell>
        </row>
        <row r="33">
          <cell r="F33">
            <v>800</v>
          </cell>
          <cell r="M33">
            <v>127.66</v>
          </cell>
          <cell r="AL33">
            <v>418.74734099072037</v>
          </cell>
        </row>
        <row r="34">
          <cell r="F34">
            <v>800</v>
          </cell>
          <cell r="M34">
            <v>107.85</v>
          </cell>
          <cell r="AL34">
            <v>418.74734099072037</v>
          </cell>
        </row>
        <row r="35">
          <cell r="F35">
            <v>800</v>
          </cell>
          <cell r="M35">
            <v>101.39</v>
          </cell>
          <cell r="AL35">
            <v>418.74734099072037</v>
          </cell>
        </row>
        <row r="36">
          <cell r="F36">
            <v>800</v>
          </cell>
          <cell r="M36">
            <v>80.25</v>
          </cell>
          <cell r="AL36">
            <v>452.28488285515658</v>
          </cell>
        </row>
        <row r="37">
          <cell r="F37">
            <v>800</v>
          </cell>
          <cell r="M37">
            <v>84.1</v>
          </cell>
          <cell r="AL37">
            <v>452.28488285515658</v>
          </cell>
        </row>
        <row r="38">
          <cell r="F38">
            <v>800</v>
          </cell>
          <cell r="M38">
            <v>148.11000000000001</v>
          </cell>
          <cell r="AL38">
            <v>452.28488285515658</v>
          </cell>
        </row>
        <row r="39">
          <cell r="F39">
            <v>800</v>
          </cell>
          <cell r="M39">
            <v>212.43</v>
          </cell>
          <cell r="AL39">
            <v>452.28488285515658</v>
          </cell>
        </row>
        <row r="40">
          <cell r="F40">
            <v>800</v>
          </cell>
          <cell r="M40">
            <v>150.68</v>
          </cell>
          <cell r="AL40">
            <v>452.28488285515658</v>
          </cell>
        </row>
        <row r="41">
          <cell r="F41">
            <v>800</v>
          </cell>
          <cell r="M41">
            <v>38.590000000000003</v>
          </cell>
          <cell r="U41">
            <v>111.95545945966248</v>
          </cell>
          <cell r="V41">
            <v>54965.973582520703</v>
          </cell>
          <cell r="AA41">
            <v>185.39702564413628</v>
          </cell>
          <cell r="AB41">
            <v>457.06525261228069</v>
          </cell>
          <cell r="AL41">
            <v>452.28488285515658</v>
          </cell>
        </row>
      </sheetData>
      <sheetData sheetId="4">
        <row r="66">
          <cell r="E66">
            <v>500</v>
          </cell>
          <cell r="F66">
            <v>461.4</v>
          </cell>
          <cell r="AL66">
            <v>91.905863066909774</v>
          </cell>
        </row>
      </sheetData>
      <sheetData sheetId="5">
        <row r="17">
          <cell r="F17">
            <v>800</v>
          </cell>
          <cell r="M17">
            <v>33.71</v>
          </cell>
          <cell r="AL17">
            <v>728.55065022870588</v>
          </cell>
        </row>
        <row r="18">
          <cell r="F18">
            <v>800</v>
          </cell>
          <cell r="M18">
            <v>9.56</v>
          </cell>
          <cell r="AL18">
            <v>728.55065022870588</v>
          </cell>
        </row>
        <row r="19">
          <cell r="F19">
            <v>800</v>
          </cell>
          <cell r="M19">
            <v>17.93</v>
          </cell>
          <cell r="AL19">
            <v>728.55065022870588</v>
          </cell>
        </row>
        <row r="20">
          <cell r="F20">
            <v>800</v>
          </cell>
          <cell r="M20">
            <v>45.89</v>
          </cell>
          <cell r="AL20">
            <v>728.55065022870588</v>
          </cell>
        </row>
        <row r="21">
          <cell r="F21">
            <v>800</v>
          </cell>
          <cell r="M21">
            <v>107.8</v>
          </cell>
          <cell r="AL21">
            <v>728.55065022870588</v>
          </cell>
        </row>
        <row r="22">
          <cell r="F22">
            <v>800</v>
          </cell>
          <cell r="M22">
            <v>107.43</v>
          </cell>
          <cell r="AL22">
            <v>728.55065022870588</v>
          </cell>
        </row>
        <row r="23">
          <cell r="F23">
            <v>800</v>
          </cell>
          <cell r="M23">
            <v>2.4500000000000002</v>
          </cell>
          <cell r="N23">
            <v>324.77</v>
          </cell>
          <cell r="AB23">
            <v>349.71511222490813</v>
          </cell>
          <cell r="AL23">
            <v>631.11501475850889</v>
          </cell>
        </row>
        <row r="24">
          <cell r="F24">
            <v>800</v>
          </cell>
          <cell r="M24">
            <v>52.32</v>
          </cell>
          <cell r="AL24">
            <v>318.46222636789207</v>
          </cell>
        </row>
        <row r="25">
          <cell r="F25">
            <v>800</v>
          </cell>
          <cell r="M25">
            <v>103.61</v>
          </cell>
          <cell r="AL25">
            <v>318.46222636789213</v>
          </cell>
        </row>
        <row r="26">
          <cell r="F26">
            <v>800</v>
          </cell>
          <cell r="M26">
            <v>51.56</v>
          </cell>
          <cell r="U26">
            <v>68.577191500621367</v>
          </cell>
          <cell r="V26">
            <v>33274.091453225454</v>
          </cell>
          <cell r="AA26">
            <v>169.13784644505068</v>
          </cell>
          <cell r="AB26">
            <v>349.71511222490813</v>
          </cell>
          <cell r="AL26">
            <v>318.46222636789213</v>
          </cell>
        </row>
      </sheetData>
      <sheetData sheetId="6">
        <row r="17">
          <cell r="F17">
            <v>700</v>
          </cell>
          <cell r="M17">
            <v>10.8</v>
          </cell>
          <cell r="AL17">
            <v>411.92992780346884</v>
          </cell>
        </row>
        <row r="18">
          <cell r="F18">
            <v>700</v>
          </cell>
          <cell r="M18">
            <v>52.65</v>
          </cell>
          <cell r="AL18">
            <v>411.92992780346884</v>
          </cell>
        </row>
        <row r="19">
          <cell r="F19">
            <v>700</v>
          </cell>
          <cell r="M19">
            <v>41.62</v>
          </cell>
          <cell r="AL19">
            <v>411.92992780346884</v>
          </cell>
        </row>
        <row r="20">
          <cell r="F20">
            <v>700</v>
          </cell>
          <cell r="M20">
            <v>40.85</v>
          </cell>
          <cell r="N20">
            <v>145.91999999999999</v>
          </cell>
          <cell r="U20">
            <v>42.687132593489849</v>
          </cell>
          <cell r="V20">
            <v>20520.494065981216</v>
          </cell>
          <cell r="AA20">
            <v>160.63033808124189</v>
          </cell>
          <cell r="AB20">
            <v>281.91620967022288</v>
          </cell>
          <cell r="AL20">
            <v>411.92992780346884</v>
          </cell>
        </row>
      </sheetData>
      <sheetData sheetId="7">
        <row r="17">
          <cell r="F17">
            <v>334</v>
          </cell>
          <cell r="M17">
            <v>99.77</v>
          </cell>
          <cell r="AL17">
            <v>64.987468054549893</v>
          </cell>
        </row>
        <row r="18">
          <cell r="F18">
            <v>334</v>
          </cell>
          <cell r="M18">
            <v>96.18</v>
          </cell>
          <cell r="AL18">
            <v>64.987468054549893</v>
          </cell>
        </row>
        <row r="19">
          <cell r="F19">
            <v>334</v>
          </cell>
          <cell r="M19">
            <v>60.16</v>
          </cell>
          <cell r="AL19">
            <v>64.987468054549893</v>
          </cell>
        </row>
        <row r="20">
          <cell r="F20">
            <v>334</v>
          </cell>
          <cell r="M20">
            <v>61.03</v>
          </cell>
          <cell r="AL20">
            <v>64.987468054549893</v>
          </cell>
        </row>
        <row r="21">
          <cell r="F21">
            <v>334</v>
          </cell>
          <cell r="M21">
            <v>62.79</v>
          </cell>
          <cell r="AL21">
            <v>64.987468054549893</v>
          </cell>
        </row>
        <row r="22">
          <cell r="F22">
            <v>470.8</v>
          </cell>
          <cell r="M22">
            <v>81.12</v>
          </cell>
          <cell r="AL22">
            <v>164.09749816498535</v>
          </cell>
        </row>
        <row r="23">
          <cell r="F23">
            <v>470.8</v>
          </cell>
          <cell r="M23">
            <v>74.400000000000006</v>
          </cell>
          <cell r="AL23">
            <v>164.09749816498535</v>
          </cell>
        </row>
        <row r="24">
          <cell r="F24">
            <v>470.8</v>
          </cell>
          <cell r="M24">
            <v>20.99</v>
          </cell>
          <cell r="N24">
            <v>556.44000000000005</v>
          </cell>
          <cell r="U24">
            <v>3.1092759345538639</v>
          </cell>
          <cell r="V24">
            <v>1577.368002645592</v>
          </cell>
          <cell r="AA24">
            <v>51.060397539593829</v>
          </cell>
          <cell r="AB24">
            <v>63.073571466302226</v>
          </cell>
          <cell r="AL24">
            <v>164.09749816498535</v>
          </cell>
        </row>
        <row r="33">
          <cell r="F33">
            <v>500</v>
          </cell>
          <cell r="M33">
            <v>13.42</v>
          </cell>
          <cell r="AL33">
            <v>148.90679054371034</v>
          </cell>
        </row>
        <row r="34">
          <cell r="F34">
            <v>500</v>
          </cell>
          <cell r="M34">
            <v>87.75</v>
          </cell>
          <cell r="AL34">
            <v>148.90679054371034</v>
          </cell>
        </row>
        <row r="35">
          <cell r="F35">
            <v>500</v>
          </cell>
          <cell r="M35">
            <v>78.209999999999994</v>
          </cell>
          <cell r="AL35">
            <v>148.90679054371034</v>
          </cell>
        </row>
        <row r="36">
          <cell r="F36">
            <v>500</v>
          </cell>
          <cell r="M36">
            <v>79.83</v>
          </cell>
          <cell r="AL36">
            <v>148.90679054371034</v>
          </cell>
        </row>
        <row r="37">
          <cell r="F37">
            <v>500</v>
          </cell>
          <cell r="M37">
            <v>50.13</v>
          </cell>
          <cell r="AL37">
            <v>148.90679054371034</v>
          </cell>
        </row>
        <row r="38">
          <cell r="F38">
            <v>500</v>
          </cell>
          <cell r="M38">
            <v>49.74</v>
          </cell>
          <cell r="AL38">
            <v>148.90679054371034</v>
          </cell>
        </row>
        <row r="39">
          <cell r="F39">
            <v>500</v>
          </cell>
          <cell r="M39">
            <v>46.5</v>
          </cell>
          <cell r="AL39">
            <v>148.90679054371034</v>
          </cell>
        </row>
        <row r="40">
          <cell r="F40">
            <v>500</v>
          </cell>
          <cell r="M40">
            <v>67.81</v>
          </cell>
          <cell r="AL40">
            <v>148.90679054371034</v>
          </cell>
        </row>
        <row r="41">
          <cell r="F41">
            <v>500</v>
          </cell>
          <cell r="M41">
            <v>50.01</v>
          </cell>
          <cell r="AL41">
            <v>148.90679054371034</v>
          </cell>
        </row>
        <row r="42">
          <cell r="F42">
            <v>500</v>
          </cell>
          <cell r="M42">
            <v>39.43</v>
          </cell>
          <cell r="N42">
            <v>562.82999999999993</v>
          </cell>
          <cell r="U42">
            <v>6.2185518691077277</v>
          </cell>
          <cell r="V42">
            <v>3154.736005291184</v>
          </cell>
          <cell r="AA42">
            <v>102.12079507918766</v>
          </cell>
          <cell r="AB42">
            <v>124.65531320749812</v>
          </cell>
          <cell r="AL42">
            <v>148.90679054371034</v>
          </cell>
        </row>
      </sheetData>
      <sheetData sheetId="8">
        <row r="17">
          <cell r="F17">
            <v>600</v>
          </cell>
          <cell r="M17">
            <v>12.56</v>
          </cell>
          <cell r="U17">
            <v>3.0876064405293913</v>
          </cell>
          <cell r="V17">
            <v>1537.7640714457384</v>
          </cell>
          <cell r="AA17">
            <v>62.041920616278134</v>
          </cell>
          <cell r="AL17">
            <v>225.94551961038727</v>
          </cell>
        </row>
        <row r="18">
          <cell r="F18">
            <v>684</v>
          </cell>
          <cell r="M18">
            <v>82.98</v>
          </cell>
          <cell r="AL18">
            <v>405.58400396982654</v>
          </cell>
        </row>
        <row r="19">
          <cell r="F19">
            <v>684</v>
          </cell>
          <cell r="M19">
            <v>83.15</v>
          </cell>
          <cell r="N19">
            <v>178.69</v>
          </cell>
          <cell r="AB19">
            <v>73.996274381360877</v>
          </cell>
          <cell r="AL19">
            <v>405.58400396982654</v>
          </cell>
        </row>
      </sheetData>
      <sheetData sheetId="9">
        <row r="17">
          <cell r="F17">
            <v>169.4</v>
          </cell>
          <cell r="M17">
            <v>61.34</v>
          </cell>
          <cell r="AL17">
            <v>14.097972511255218</v>
          </cell>
        </row>
        <row r="18">
          <cell r="F18">
            <v>175</v>
          </cell>
          <cell r="M18">
            <v>38.619999999999997</v>
          </cell>
          <cell r="AL18">
            <v>11.822710408308502</v>
          </cell>
        </row>
        <row r="19">
          <cell r="F19">
            <v>250</v>
          </cell>
          <cell r="M19">
            <v>56.22</v>
          </cell>
          <cell r="AL19">
            <v>31.668227196489603</v>
          </cell>
        </row>
        <row r="20">
          <cell r="F20">
            <v>250</v>
          </cell>
          <cell r="M20">
            <v>53.09</v>
          </cell>
          <cell r="AL20">
            <v>31.668227196489603</v>
          </cell>
        </row>
        <row r="21">
          <cell r="F21">
            <v>250</v>
          </cell>
          <cell r="M21">
            <v>53.66</v>
          </cell>
          <cell r="AL21">
            <v>31.668227196489603</v>
          </cell>
        </row>
        <row r="22">
          <cell r="F22">
            <v>250</v>
          </cell>
          <cell r="M22">
            <v>6.78</v>
          </cell>
          <cell r="AL22">
            <v>31.668227196489603</v>
          </cell>
        </row>
        <row r="23">
          <cell r="F23">
            <v>250</v>
          </cell>
          <cell r="M23">
            <v>12.99</v>
          </cell>
          <cell r="AL23">
            <v>31.668227196489603</v>
          </cell>
        </row>
        <row r="24">
          <cell r="F24">
            <v>250</v>
          </cell>
          <cell r="M24">
            <v>17.010000000000002</v>
          </cell>
          <cell r="AL24">
            <v>31.668227196489603</v>
          </cell>
        </row>
        <row r="25">
          <cell r="F25">
            <v>300</v>
          </cell>
          <cell r="M25">
            <v>59.74</v>
          </cell>
          <cell r="AL25">
            <v>52.242591479059691</v>
          </cell>
        </row>
        <row r="26">
          <cell r="F26">
            <v>300</v>
          </cell>
          <cell r="M26">
            <v>46</v>
          </cell>
          <cell r="AL26">
            <v>52.242591479059691</v>
          </cell>
        </row>
        <row r="27">
          <cell r="F27">
            <v>300</v>
          </cell>
          <cell r="M27">
            <v>97.41</v>
          </cell>
          <cell r="AL27">
            <v>52.242591479059691</v>
          </cell>
        </row>
        <row r="28">
          <cell r="F28">
            <v>300</v>
          </cell>
          <cell r="M28">
            <v>65.89</v>
          </cell>
          <cell r="AL28">
            <v>52.242591479059691</v>
          </cell>
        </row>
        <row r="29">
          <cell r="F29">
            <v>300</v>
          </cell>
          <cell r="M29">
            <v>95.73</v>
          </cell>
          <cell r="AL29">
            <v>52.242591479059691</v>
          </cell>
        </row>
        <row r="30">
          <cell r="F30">
            <v>300</v>
          </cell>
          <cell r="M30">
            <v>14.65</v>
          </cell>
          <cell r="AL30">
            <v>52.242591479059691</v>
          </cell>
        </row>
        <row r="31">
          <cell r="F31">
            <v>300</v>
          </cell>
          <cell r="M31">
            <v>19.77</v>
          </cell>
          <cell r="AL31">
            <v>52.242591479059691</v>
          </cell>
        </row>
        <row r="32">
          <cell r="F32">
            <v>300</v>
          </cell>
          <cell r="M32">
            <v>9.25</v>
          </cell>
          <cell r="AL32">
            <v>52.242591479059691</v>
          </cell>
        </row>
        <row r="33">
          <cell r="F33">
            <v>300</v>
          </cell>
          <cell r="M33">
            <v>35.270000000000003</v>
          </cell>
          <cell r="AL33">
            <v>52.242591479059691</v>
          </cell>
        </row>
        <row r="34">
          <cell r="F34">
            <v>300</v>
          </cell>
          <cell r="M34">
            <v>65.459999999999994</v>
          </cell>
          <cell r="AL34">
            <v>52.242591479059691</v>
          </cell>
        </row>
        <row r="35">
          <cell r="F35">
            <v>300</v>
          </cell>
          <cell r="M35">
            <v>120.01</v>
          </cell>
          <cell r="AL35">
            <v>52.242591479059691</v>
          </cell>
        </row>
        <row r="36">
          <cell r="F36">
            <v>350</v>
          </cell>
          <cell r="M36">
            <v>8.4559999999999995</v>
          </cell>
          <cell r="AL36">
            <v>79.640118465282882</v>
          </cell>
        </row>
        <row r="37">
          <cell r="F37">
            <v>350</v>
          </cell>
          <cell r="M37">
            <v>111.39</v>
          </cell>
          <cell r="AL37">
            <v>79.640118465282882</v>
          </cell>
        </row>
        <row r="38">
          <cell r="F38">
            <v>350</v>
          </cell>
          <cell r="M38">
            <v>14.96</v>
          </cell>
          <cell r="AL38">
            <v>79.640118465282882</v>
          </cell>
        </row>
        <row r="39">
          <cell r="F39">
            <v>350</v>
          </cell>
          <cell r="M39">
            <v>48.83</v>
          </cell>
          <cell r="AL39">
            <v>79.640118465282882</v>
          </cell>
        </row>
        <row r="40">
          <cell r="F40">
            <v>350</v>
          </cell>
          <cell r="M40">
            <v>128.08000000000001</v>
          </cell>
          <cell r="AL40">
            <v>79.640118465282882</v>
          </cell>
        </row>
        <row r="41">
          <cell r="F41">
            <v>350</v>
          </cell>
          <cell r="M41">
            <v>105.92</v>
          </cell>
          <cell r="AL41">
            <v>79.640118465282882</v>
          </cell>
        </row>
        <row r="42">
          <cell r="F42">
            <v>350</v>
          </cell>
          <cell r="M42">
            <v>110.1</v>
          </cell>
          <cell r="AL42">
            <v>79.640118465282882</v>
          </cell>
        </row>
        <row r="43">
          <cell r="F43">
            <v>350</v>
          </cell>
          <cell r="M43">
            <v>97.86</v>
          </cell>
          <cell r="AL43">
            <v>79.640118465282882</v>
          </cell>
        </row>
        <row r="44">
          <cell r="F44">
            <v>350</v>
          </cell>
          <cell r="M44">
            <v>14.58</v>
          </cell>
          <cell r="AL44">
            <v>79.640118465282882</v>
          </cell>
        </row>
        <row r="45">
          <cell r="F45">
            <v>400</v>
          </cell>
          <cell r="M45">
            <v>56.42</v>
          </cell>
          <cell r="AL45">
            <v>113.26994187435733</v>
          </cell>
        </row>
        <row r="46">
          <cell r="F46">
            <v>600</v>
          </cell>
          <cell r="M46">
            <v>67.62</v>
          </cell>
          <cell r="AL46">
            <v>339.82928310432607</v>
          </cell>
        </row>
        <row r="47">
          <cell r="F47">
            <v>600</v>
          </cell>
          <cell r="M47">
            <v>103.14</v>
          </cell>
          <cell r="AL47">
            <v>339.82928310432607</v>
          </cell>
        </row>
        <row r="48">
          <cell r="F48">
            <v>600</v>
          </cell>
          <cell r="M48">
            <v>95.77</v>
          </cell>
          <cell r="N48">
            <v>1892.0159999999998</v>
          </cell>
          <cell r="U48">
            <v>30.914065288092893</v>
          </cell>
          <cell r="V48">
            <v>14641.007594140112</v>
          </cell>
          <cell r="AA48">
            <v>7.4491454624603879</v>
          </cell>
          <cell r="AB48">
            <v>99.845943832483201</v>
          </cell>
          <cell r="AL48">
            <v>339.82928310432607</v>
          </cell>
        </row>
      </sheetData>
      <sheetData sheetId="10">
        <row r="17">
          <cell r="F17">
            <v>188.2</v>
          </cell>
          <cell r="M17">
            <v>7.84</v>
          </cell>
          <cell r="AL17">
            <v>21.490565723795282</v>
          </cell>
        </row>
        <row r="18">
          <cell r="F18">
            <v>188.2</v>
          </cell>
          <cell r="M18">
            <v>94.16</v>
          </cell>
          <cell r="AL18">
            <v>21.490565723795282</v>
          </cell>
        </row>
        <row r="19">
          <cell r="F19">
            <v>188.2</v>
          </cell>
          <cell r="M19">
            <v>5.33</v>
          </cell>
          <cell r="AL19">
            <v>21.490565723795282</v>
          </cell>
        </row>
        <row r="20">
          <cell r="F20">
            <v>188.2</v>
          </cell>
          <cell r="M20">
            <v>43.74</v>
          </cell>
          <cell r="AL20">
            <v>21.490565723795282</v>
          </cell>
        </row>
        <row r="21">
          <cell r="F21">
            <v>188.2</v>
          </cell>
          <cell r="M21">
            <v>49.36</v>
          </cell>
          <cell r="AL21">
            <v>21.490565723795282</v>
          </cell>
        </row>
        <row r="22">
          <cell r="F22">
            <v>188.2</v>
          </cell>
          <cell r="M22">
            <v>23.61</v>
          </cell>
          <cell r="AL22">
            <v>21.490565723795282</v>
          </cell>
        </row>
        <row r="23">
          <cell r="F23">
            <v>188.2</v>
          </cell>
          <cell r="M23">
            <v>2.48</v>
          </cell>
          <cell r="AL23">
            <v>21.490565723795282</v>
          </cell>
        </row>
        <row r="24">
          <cell r="F24">
            <v>188.2</v>
          </cell>
          <cell r="M24">
            <v>97.05</v>
          </cell>
          <cell r="AL24">
            <v>34.883293125936412</v>
          </cell>
        </row>
        <row r="25">
          <cell r="F25">
            <v>188.2</v>
          </cell>
          <cell r="M25">
            <v>15.05</v>
          </cell>
          <cell r="AL25">
            <v>33.59701802259179</v>
          </cell>
        </row>
        <row r="26">
          <cell r="F26">
            <v>188.2</v>
          </cell>
          <cell r="M26">
            <v>111</v>
          </cell>
          <cell r="AL26">
            <v>24.548331761566597</v>
          </cell>
        </row>
        <row r="27">
          <cell r="F27">
            <v>188.2</v>
          </cell>
          <cell r="M27">
            <v>37.06</v>
          </cell>
          <cell r="AL27">
            <v>21.11545437904611</v>
          </cell>
        </row>
        <row r="28">
          <cell r="F28">
            <v>188.2</v>
          </cell>
          <cell r="M28">
            <v>31.03</v>
          </cell>
          <cell r="AL28">
            <v>28.907529290830524</v>
          </cell>
        </row>
        <row r="29">
          <cell r="F29">
            <v>188.2</v>
          </cell>
          <cell r="M29">
            <v>13.43</v>
          </cell>
          <cell r="AL29">
            <v>34.947087928215247</v>
          </cell>
        </row>
        <row r="30">
          <cell r="F30">
            <v>188.2</v>
          </cell>
          <cell r="M30">
            <v>33.07</v>
          </cell>
          <cell r="AL30">
            <v>23.052260213991229</v>
          </cell>
        </row>
        <row r="31">
          <cell r="F31">
            <v>188.2</v>
          </cell>
          <cell r="M31">
            <v>25.49</v>
          </cell>
          <cell r="AL31">
            <v>20.338612319127627</v>
          </cell>
        </row>
        <row r="32">
          <cell r="F32">
            <v>188.2</v>
          </cell>
          <cell r="M32">
            <v>24.41</v>
          </cell>
          <cell r="AL32">
            <v>28.564429340886051</v>
          </cell>
        </row>
        <row r="33">
          <cell r="F33">
            <v>188.2</v>
          </cell>
          <cell r="M33">
            <v>40.44</v>
          </cell>
          <cell r="AL33">
            <v>16.147327824238943</v>
          </cell>
        </row>
        <row r="34">
          <cell r="F34">
            <v>188.2</v>
          </cell>
          <cell r="M34">
            <v>23.83</v>
          </cell>
          <cell r="N34">
            <v>678.38</v>
          </cell>
          <cell r="AB34">
            <v>5.3483619328543739</v>
          </cell>
          <cell r="AL34">
            <v>25.642493617062229</v>
          </cell>
        </row>
      </sheetData>
      <sheetData sheetId="11">
        <row r="17">
          <cell r="F17">
            <v>334</v>
          </cell>
          <cell r="M17">
            <v>65.98</v>
          </cell>
          <cell r="AL17">
            <v>104.26892522519175</v>
          </cell>
        </row>
        <row r="18">
          <cell r="F18">
            <v>334</v>
          </cell>
          <cell r="M18">
            <v>105.42</v>
          </cell>
          <cell r="AL18">
            <v>108.68512034922361</v>
          </cell>
        </row>
        <row r="19">
          <cell r="F19">
            <v>334</v>
          </cell>
          <cell r="M19">
            <v>15.6</v>
          </cell>
          <cell r="AL19">
            <v>122.20553552134106</v>
          </cell>
        </row>
        <row r="20">
          <cell r="F20">
            <v>630.6</v>
          </cell>
          <cell r="M20">
            <v>87.04</v>
          </cell>
          <cell r="AL20">
            <v>615.70637276808475</v>
          </cell>
        </row>
        <row r="21">
          <cell r="F21">
            <v>757.8</v>
          </cell>
          <cell r="M21">
            <v>1.85</v>
          </cell>
          <cell r="AL21">
            <v>1004.9090758039621</v>
          </cell>
        </row>
        <row r="22">
          <cell r="F22">
            <v>723.8</v>
          </cell>
          <cell r="M22">
            <v>62.76</v>
          </cell>
          <cell r="AL22">
            <v>606.19052373161799</v>
          </cell>
        </row>
        <row r="23">
          <cell r="F23">
            <v>723.8</v>
          </cell>
          <cell r="M23">
            <v>63.06</v>
          </cell>
          <cell r="AL23">
            <v>497.84327483488352</v>
          </cell>
        </row>
        <row r="24">
          <cell r="F24">
            <v>773.8</v>
          </cell>
          <cell r="M24">
            <v>62.93</v>
          </cell>
          <cell r="AL24">
            <v>528.45249841039288</v>
          </cell>
        </row>
        <row r="25">
          <cell r="F25">
            <v>773.8</v>
          </cell>
          <cell r="M25">
            <v>47.44</v>
          </cell>
          <cell r="N25">
            <v>512.08000000000004</v>
          </cell>
          <cell r="U25">
            <v>6.2402213631321999</v>
          </cell>
          <cell r="V25">
            <v>3194.3399364910379</v>
          </cell>
          <cell r="AA25">
            <v>91.139272002503361</v>
          </cell>
          <cell r="AB25">
            <v>113.72326917259824</v>
          </cell>
          <cell r="AL25">
            <v>528.45249841039288</v>
          </cell>
        </row>
      </sheetData>
      <sheetData sheetId="12">
        <row r="17">
          <cell r="F17">
            <v>376.6</v>
          </cell>
          <cell r="M17">
            <v>55.19</v>
          </cell>
          <cell r="P17">
            <v>26.13649646748884</v>
          </cell>
          <cell r="Q17">
            <v>8904.095274618483</v>
          </cell>
          <cell r="AL17">
            <v>530.91381630656304</v>
          </cell>
        </row>
        <row r="18">
          <cell r="F18">
            <v>376.6</v>
          </cell>
          <cell r="M18">
            <v>3.03</v>
          </cell>
          <cell r="AL18">
            <v>610.41305357652197</v>
          </cell>
        </row>
        <row r="19">
          <cell r="F19">
            <v>376.6</v>
          </cell>
          <cell r="M19">
            <v>100.56</v>
          </cell>
          <cell r="AL19">
            <v>90.201301440132013</v>
          </cell>
        </row>
        <row r="20">
          <cell r="F20">
            <v>376.6</v>
          </cell>
          <cell r="M20">
            <v>15.77</v>
          </cell>
          <cell r="AL20">
            <v>98.674397350988897</v>
          </cell>
        </row>
        <row r="21">
          <cell r="F21">
            <v>376.6</v>
          </cell>
          <cell r="M21">
            <v>102.77</v>
          </cell>
          <cell r="AL21">
            <v>132.65384271034782</v>
          </cell>
        </row>
        <row r="22">
          <cell r="F22">
            <v>376.6</v>
          </cell>
          <cell r="M22">
            <v>121.59</v>
          </cell>
          <cell r="AL22">
            <v>124.61481057551286</v>
          </cell>
        </row>
        <row r="23">
          <cell r="F23">
            <v>376.6</v>
          </cell>
          <cell r="M23">
            <v>126.2</v>
          </cell>
          <cell r="AL23">
            <v>122.37737889323785</v>
          </cell>
        </row>
        <row r="24">
          <cell r="F24">
            <v>376.6</v>
          </cell>
          <cell r="M24">
            <v>9.16</v>
          </cell>
          <cell r="AL24">
            <v>478.63438328718058</v>
          </cell>
        </row>
        <row r="25">
          <cell r="F25">
            <v>376.6</v>
          </cell>
          <cell r="M25">
            <v>101.86</v>
          </cell>
          <cell r="AL25">
            <v>147.07089007673753</v>
          </cell>
        </row>
        <row r="26">
          <cell r="F26">
            <v>376.6</v>
          </cell>
          <cell r="M26">
            <v>119.53</v>
          </cell>
          <cell r="AL26">
            <v>124.19373754017863</v>
          </cell>
        </row>
        <row r="27">
          <cell r="F27">
            <v>376.6</v>
          </cell>
          <cell r="M27">
            <v>62.3</v>
          </cell>
          <cell r="AL27">
            <v>121.89899069761282</v>
          </cell>
        </row>
        <row r="28">
          <cell r="F28">
            <v>376.6</v>
          </cell>
          <cell r="M28">
            <v>129.81</v>
          </cell>
          <cell r="AL28">
            <v>120.7599333662977</v>
          </cell>
        </row>
        <row r="29">
          <cell r="F29">
            <v>376.6</v>
          </cell>
          <cell r="M29">
            <v>89.05</v>
          </cell>
          <cell r="AL29">
            <v>119.87061800547409</v>
          </cell>
        </row>
        <row r="30">
          <cell r="F30">
            <v>376.6</v>
          </cell>
          <cell r="M30">
            <v>74.83</v>
          </cell>
          <cell r="AL30">
            <v>113.99836689477148</v>
          </cell>
        </row>
        <row r="31">
          <cell r="F31">
            <v>376.6</v>
          </cell>
          <cell r="M31">
            <v>11.41</v>
          </cell>
          <cell r="AL31">
            <v>126.85486436466468</v>
          </cell>
        </row>
        <row r="32">
          <cell r="F32">
            <v>376.6</v>
          </cell>
          <cell r="M32">
            <v>87.81</v>
          </cell>
          <cell r="AL32">
            <v>151.15958564917668</v>
          </cell>
        </row>
        <row r="33">
          <cell r="F33">
            <v>376.6</v>
          </cell>
          <cell r="M33">
            <v>60.83</v>
          </cell>
          <cell r="AL33">
            <v>265.74298649357462</v>
          </cell>
        </row>
        <row r="34">
          <cell r="F34">
            <v>334</v>
          </cell>
          <cell r="M34">
            <v>49</v>
          </cell>
          <cell r="AL34">
            <v>109.24972217625564</v>
          </cell>
        </row>
        <row r="35">
          <cell r="F35">
            <v>334</v>
          </cell>
          <cell r="M35">
            <v>37.85</v>
          </cell>
          <cell r="AL35">
            <v>192.06421690048882</v>
          </cell>
        </row>
        <row r="36">
          <cell r="F36">
            <v>334</v>
          </cell>
          <cell r="M36">
            <v>7.88</v>
          </cell>
          <cell r="AL36">
            <v>167.64695248769266</v>
          </cell>
        </row>
        <row r="37">
          <cell r="F37">
            <v>334</v>
          </cell>
          <cell r="M37">
            <v>17.329999999999998</v>
          </cell>
          <cell r="N37">
            <v>1383.7599999999998</v>
          </cell>
          <cell r="AB37">
            <v>83.756745582871631</v>
          </cell>
          <cell r="AL37">
            <v>89.429952412901642</v>
          </cell>
        </row>
      </sheetData>
      <sheetData sheetId="13">
        <row r="17">
          <cell r="F17">
            <v>600</v>
          </cell>
          <cell r="M17">
            <v>10.72</v>
          </cell>
          <cell r="AL17">
            <v>208.25069144536641</v>
          </cell>
        </row>
        <row r="18">
          <cell r="F18">
            <v>600</v>
          </cell>
          <cell r="M18">
            <v>27.24</v>
          </cell>
          <cell r="AL18">
            <v>258.50905390540731</v>
          </cell>
        </row>
        <row r="19">
          <cell r="F19">
            <v>600</v>
          </cell>
          <cell r="M19">
            <v>113.57</v>
          </cell>
          <cell r="AL19">
            <v>258.50905390540731</v>
          </cell>
        </row>
        <row r="20">
          <cell r="F20">
            <v>600</v>
          </cell>
          <cell r="M20">
            <v>34.04</v>
          </cell>
          <cell r="AL20">
            <v>258.50905390540731</v>
          </cell>
        </row>
        <row r="21">
          <cell r="F21">
            <v>600</v>
          </cell>
          <cell r="M21">
            <v>66.48</v>
          </cell>
          <cell r="AL21">
            <v>258.50905390540731</v>
          </cell>
        </row>
        <row r="22">
          <cell r="F22">
            <v>600</v>
          </cell>
          <cell r="M22">
            <v>111.91</v>
          </cell>
          <cell r="N22">
            <v>363.96000000000004</v>
          </cell>
          <cell r="U22">
            <v>25.890058907131515</v>
          </cell>
          <cell r="V22">
            <v>12753.597387244237</v>
          </cell>
          <cell r="AA22">
            <v>8.5075083638088085</v>
          </cell>
          <cell r="AB22">
            <v>87.449095417972785</v>
          </cell>
          <cell r="AL22">
            <v>258.50905390540731</v>
          </cell>
        </row>
      </sheetData>
      <sheetData sheetId="14">
        <row r="17">
          <cell r="F17">
            <v>350</v>
          </cell>
          <cell r="M17">
            <v>12.65</v>
          </cell>
          <cell r="AL17">
            <v>114.91207760522649</v>
          </cell>
        </row>
        <row r="18">
          <cell r="F18">
            <v>350</v>
          </cell>
          <cell r="M18">
            <v>104.13</v>
          </cell>
          <cell r="AL18">
            <v>26.507468558519172</v>
          </cell>
        </row>
        <row r="19">
          <cell r="F19">
            <v>350</v>
          </cell>
          <cell r="M19">
            <v>96.89</v>
          </cell>
          <cell r="AL19">
            <v>53.114288906106935</v>
          </cell>
        </row>
        <row r="20">
          <cell r="F20">
            <v>400</v>
          </cell>
          <cell r="M20">
            <v>42.86</v>
          </cell>
          <cell r="AL20">
            <v>71.868852488099733</v>
          </cell>
        </row>
        <row r="21">
          <cell r="F21">
            <v>600</v>
          </cell>
          <cell r="M21">
            <v>18.71</v>
          </cell>
          <cell r="AL21">
            <v>585.79305275499155</v>
          </cell>
        </row>
        <row r="22">
          <cell r="F22">
            <v>600</v>
          </cell>
          <cell r="M22">
            <v>113.75</v>
          </cell>
          <cell r="AL22">
            <v>210.09826213909577</v>
          </cell>
        </row>
        <row r="23">
          <cell r="F23">
            <v>600</v>
          </cell>
          <cell r="M23">
            <v>131.02000000000001</v>
          </cell>
          <cell r="AL23">
            <v>210.09826213909577</v>
          </cell>
        </row>
        <row r="24">
          <cell r="F24">
            <v>600</v>
          </cell>
          <cell r="M24">
            <v>38.17</v>
          </cell>
          <cell r="AL24">
            <v>210.09826213909577</v>
          </cell>
        </row>
        <row r="25">
          <cell r="F25">
            <v>600</v>
          </cell>
          <cell r="M25">
            <v>70.430000000000007</v>
          </cell>
          <cell r="AL25">
            <v>210.09826213909577</v>
          </cell>
        </row>
        <row r="26">
          <cell r="F26">
            <v>600</v>
          </cell>
          <cell r="M26">
            <v>21.73</v>
          </cell>
          <cell r="AL26">
            <v>210.09826213909577</v>
          </cell>
        </row>
        <row r="27">
          <cell r="F27">
            <v>600</v>
          </cell>
          <cell r="M27">
            <v>131.18</v>
          </cell>
          <cell r="AL27">
            <v>208.25069144536641</v>
          </cell>
        </row>
        <row r="28">
          <cell r="F28">
            <v>600</v>
          </cell>
          <cell r="M28">
            <v>119.81</v>
          </cell>
          <cell r="AL28">
            <v>208.25069144536641</v>
          </cell>
        </row>
        <row r="29">
          <cell r="F29">
            <v>600</v>
          </cell>
          <cell r="M29">
            <v>119.79</v>
          </cell>
          <cell r="AL29">
            <v>208.25069144536641</v>
          </cell>
        </row>
        <row r="30">
          <cell r="F30">
            <v>600</v>
          </cell>
          <cell r="M30">
            <v>105.86</v>
          </cell>
          <cell r="N30">
            <v>1126.9799999999998</v>
          </cell>
          <cell r="U30">
            <v>22.804341737707258</v>
          </cell>
          <cell r="V30">
            <v>11517.95473380881</v>
          </cell>
          <cell r="AA30">
            <v>8.5075083638088085</v>
          </cell>
          <cell r="AB30">
            <v>79.052179481818229</v>
          </cell>
          <cell r="AL30">
            <v>208.25069144536641</v>
          </cell>
        </row>
      </sheetData>
      <sheetData sheetId="15">
        <row r="17">
          <cell r="F17">
            <v>169.4</v>
          </cell>
          <cell r="M17">
            <v>12.19</v>
          </cell>
          <cell r="AL17">
            <v>54.893655799615587</v>
          </cell>
        </row>
        <row r="18">
          <cell r="F18">
            <v>175</v>
          </cell>
          <cell r="M18">
            <v>97.51</v>
          </cell>
          <cell r="AL18">
            <v>9.8184030401127131</v>
          </cell>
        </row>
        <row r="19">
          <cell r="F19">
            <v>175</v>
          </cell>
          <cell r="M19">
            <v>94.35</v>
          </cell>
          <cell r="AL19">
            <v>13.630389562578527</v>
          </cell>
        </row>
        <row r="20">
          <cell r="F20">
            <v>175</v>
          </cell>
          <cell r="M20">
            <v>39.82</v>
          </cell>
          <cell r="AL20">
            <v>14.235822671726792</v>
          </cell>
        </row>
        <row r="21">
          <cell r="F21">
            <v>188.2</v>
          </cell>
          <cell r="M21">
            <v>110.64</v>
          </cell>
          <cell r="AL21">
            <v>22.497944751438506</v>
          </cell>
        </row>
        <row r="22">
          <cell r="F22">
            <v>235.4</v>
          </cell>
          <cell r="M22">
            <v>42.94</v>
          </cell>
          <cell r="AL22">
            <v>33.384457988952413</v>
          </cell>
        </row>
        <row r="23">
          <cell r="F23">
            <v>235.4</v>
          </cell>
          <cell r="M23">
            <v>39.39</v>
          </cell>
          <cell r="AL23">
            <v>36.139870451731326</v>
          </cell>
        </row>
        <row r="24">
          <cell r="F24">
            <v>235.4</v>
          </cell>
          <cell r="M24">
            <v>18.350000000000001</v>
          </cell>
          <cell r="AL24">
            <v>35.504278305517758</v>
          </cell>
        </row>
        <row r="25">
          <cell r="F25">
            <v>235.4</v>
          </cell>
          <cell r="M25">
            <v>30.47</v>
          </cell>
          <cell r="AL25">
            <v>28.715658133119792</v>
          </cell>
        </row>
        <row r="26">
          <cell r="F26">
            <v>235.4</v>
          </cell>
          <cell r="M26">
            <v>89.19</v>
          </cell>
          <cell r="AL26">
            <v>33.568111967867921</v>
          </cell>
        </row>
        <row r="27">
          <cell r="F27">
            <v>235.4</v>
          </cell>
          <cell r="M27">
            <v>59.72</v>
          </cell>
          <cell r="AL27">
            <v>28.190209789059725</v>
          </cell>
        </row>
        <row r="28">
          <cell r="F28">
            <v>235.4</v>
          </cell>
          <cell r="M28">
            <v>13.67</v>
          </cell>
          <cell r="AL28">
            <v>64.590476453964968</v>
          </cell>
        </row>
        <row r="29">
          <cell r="F29">
            <v>235.4</v>
          </cell>
          <cell r="M29">
            <v>40.19</v>
          </cell>
          <cell r="AL29">
            <v>33.486128952713742</v>
          </cell>
        </row>
        <row r="30">
          <cell r="F30">
            <v>235.4</v>
          </cell>
          <cell r="M30">
            <v>66.510000000000005</v>
          </cell>
          <cell r="AL30">
            <v>35.060506297169745</v>
          </cell>
        </row>
        <row r="31">
          <cell r="F31">
            <v>235.4</v>
          </cell>
          <cell r="M31">
            <v>85.8</v>
          </cell>
          <cell r="AL31">
            <v>29.639575875393987</v>
          </cell>
        </row>
        <row r="32">
          <cell r="F32">
            <v>235.4</v>
          </cell>
          <cell r="M32">
            <v>18.43</v>
          </cell>
          <cell r="AL32">
            <v>37.791491020877494</v>
          </cell>
        </row>
        <row r="33">
          <cell r="F33">
            <v>250</v>
          </cell>
          <cell r="M33">
            <v>58.76</v>
          </cell>
          <cell r="AL33">
            <v>28.323277205618552</v>
          </cell>
        </row>
        <row r="34">
          <cell r="F34">
            <v>300</v>
          </cell>
          <cell r="M34">
            <v>67.930000000000007</v>
          </cell>
          <cell r="AL34">
            <v>42.393162373207218</v>
          </cell>
        </row>
        <row r="35">
          <cell r="F35">
            <v>300</v>
          </cell>
          <cell r="M35">
            <v>38.479999999999997</v>
          </cell>
          <cell r="N35">
            <v>1024.3399999999997</v>
          </cell>
          <cell r="AB35">
            <v>3.8095942806702481</v>
          </cell>
          <cell r="AL35">
            <v>42.393162373207218</v>
          </cell>
        </row>
      </sheetData>
      <sheetData sheetId="16">
        <row r="17">
          <cell r="F17">
            <v>188.2</v>
          </cell>
          <cell r="M17">
            <v>45.56</v>
          </cell>
          <cell r="AL17">
            <v>18.74759696664924</v>
          </cell>
        </row>
        <row r="18">
          <cell r="F18">
            <v>188.2</v>
          </cell>
          <cell r="M18">
            <v>44.061</v>
          </cell>
          <cell r="AL18">
            <v>21.479760366827307</v>
          </cell>
        </row>
        <row r="19">
          <cell r="F19">
            <v>188.2</v>
          </cell>
          <cell r="M19">
            <v>48.24</v>
          </cell>
          <cell r="AL19">
            <v>21.479760366827307</v>
          </cell>
        </row>
        <row r="20">
          <cell r="F20">
            <v>188.2</v>
          </cell>
          <cell r="M20">
            <v>45.58</v>
          </cell>
          <cell r="AL20">
            <v>21.479760366827307</v>
          </cell>
        </row>
        <row r="21">
          <cell r="F21">
            <v>188.2</v>
          </cell>
          <cell r="M21">
            <v>46.2</v>
          </cell>
          <cell r="AL21">
            <v>21.479760366827307</v>
          </cell>
        </row>
        <row r="22">
          <cell r="F22">
            <v>188.2</v>
          </cell>
          <cell r="M22">
            <v>42.71</v>
          </cell>
          <cell r="AL22">
            <v>21.479760366827307</v>
          </cell>
        </row>
        <row r="23">
          <cell r="F23">
            <v>296.60000000000002</v>
          </cell>
          <cell r="M23">
            <v>30.4</v>
          </cell>
          <cell r="AL23">
            <v>74.354966981056151</v>
          </cell>
        </row>
        <row r="24">
          <cell r="F24">
            <v>296.60000000000002</v>
          </cell>
          <cell r="M24">
            <v>5.3</v>
          </cell>
          <cell r="AL24">
            <v>74.354966981056151</v>
          </cell>
        </row>
        <row r="25">
          <cell r="F25">
            <v>296.60000000000002</v>
          </cell>
          <cell r="M25">
            <v>19.89</v>
          </cell>
          <cell r="AL25">
            <v>74.354966981056151</v>
          </cell>
        </row>
        <row r="26">
          <cell r="F26">
            <v>296.60000000000002</v>
          </cell>
          <cell r="M26">
            <v>44.96</v>
          </cell>
          <cell r="AL26">
            <v>74.354966981056151</v>
          </cell>
        </row>
        <row r="27">
          <cell r="F27">
            <v>296.60000000000002</v>
          </cell>
          <cell r="M27">
            <v>39.68</v>
          </cell>
          <cell r="AL27">
            <v>74.354966981056151</v>
          </cell>
        </row>
        <row r="28">
          <cell r="F28">
            <v>296.60000000000002</v>
          </cell>
          <cell r="M28">
            <v>42.43</v>
          </cell>
          <cell r="AL28">
            <v>74.354966981056151</v>
          </cell>
        </row>
        <row r="29">
          <cell r="F29">
            <v>296.60000000000002</v>
          </cell>
          <cell r="M29">
            <v>43.66</v>
          </cell>
          <cell r="AL29">
            <v>74.354966981056151</v>
          </cell>
        </row>
        <row r="30">
          <cell r="F30">
            <v>296.60000000000002</v>
          </cell>
          <cell r="M30">
            <v>39.17</v>
          </cell>
          <cell r="AL30">
            <v>74.354966981056151</v>
          </cell>
        </row>
        <row r="31">
          <cell r="F31">
            <v>296.60000000000002</v>
          </cell>
          <cell r="M31">
            <v>42.14</v>
          </cell>
          <cell r="AL31">
            <v>74.354966981056151</v>
          </cell>
        </row>
        <row r="32">
          <cell r="F32">
            <v>296.60000000000002</v>
          </cell>
          <cell r="M32">
            <v>35.619999999999997</v>
          </cell>
          <cell r="AL32">
            <v>74.354966981056151</v>
          </cell>
        </row>
        <row r="33">
          <cell r="F33">
            <v>296.60000000000002</v>
          </cell>
          <cell r="M33">
            <v>5.64</v>
          </cell>
          <cell r="AL33">
            <v>74.354966981056151</v>
          </cell>
        </row>
        <row r="34">
          <cell r="F34">
            <v>296.60000000000002</v>
          </cell>
          <cell r="M34">
            <v>54.74</v>
          </cell>
          <cell r="AL34">
            <v>74.354966981056151</v>
          </cell>
        </row>
        <row r="35">
          <cell r="F35">
            <v>296.60000000000002</v>
          </cell>
          <cell r="M35">
            <v>28.26</v>
          </cell>
          <cell r="N35">
            <v>704.24099999999987</v>
          </cell>
          <cell r="AB35">
            <v>4.69791408313856</v>
          </cell>
          <cell r="AL35">
            <v>74.354966981056151</v>
          </cell>
        </row>
      </sheetData>
      <sheetData sheetId="17">
        <row r="17">
          <cell r="F17">
            <v>700</v>
          </cell>
          <cell r="M17">
            <v>14.24</v>
          </cell>
          <cell r="AL17">
            <v>538.98723699340042</v>
          </cell>
        </row>
        <row r="18">
          <cell r="F18">
            <v>700</v>
          </cell>
          <cell r="M18">
            <v>108.06</v>
          </cell>
          <cell r="AL18">
            <v>538.98723699340042</v>
          </cell>
        </row>
        <row r="19">
          <cell r="F19">
            <v>700</v>
          </cell>
          <cell r="M19">
            <v>120.48</v>
          </cell>
          <cell r="AL19">
            <v>538.98723699340042</v>
          </cell>
        </row>
        <row r="20">
          <cell r="F20">
            <v>700</v>
          </cell>
          <cell r="M20">
            <v>73.989999999999995</v>
          </cell>
          <cell r="AL20">
            <v>538.98723699340042</v>
          </cell>
        </row>
        <row r="21">
          <cell r="F21">
            <v>900</v>
          </cell>
          <cell r="M21">
            <v>16.16</v>
          </cell>
          <cell r="N21">
            <v>332.93</v>
          </cell>
          <cell r="U21">
            <v>52.107892284287956</v>
          </cell>
          <cell r="V21">
            <v>19290.215395302712</v>
          </cell>
          <cell r="AA21">
            <v>383.89674016752133</v>
          </cell>
          <cell r="AB21">
            <v>533.35483760973352</v>
          </cell>
          <cell r="AL21">
            <v>2311.4072688519409</v>
          </cell>
        </row>
      </sheetData>
      <sheetData sheetId="18">
        <row r="90">
          <cell r="E90">
            <v>355</v>
          </cell>
          <cell r="F90">
            <v>327.60000000000002</v>
          </cell>
          <cell r="AL90">
            <v>62.858938454956743</v>
          </cell>
        </row>
        <row r="114">
          <cell r="F114">
            <v>327.60000000000002</v>
          </cell>
        </row>
      </sheetData>
      <sheetData sheetId="19">
        <row r="17">
          <cell r="F17">
            <v>500</v>
          </cell>
          <cell r="M17">
            <v>58.84</v>
          </cell>
          <cell r="AL17">
            <v>650.23077169136695</v>
          </cell>
          <cell r="AO17">
            <v>2.4514708234462095</v>
          </cell>
        </row>
        <row r="18">
          <cell r="F18">
            <v>500</v>
          </cell>
          <cell r="M18">
            <v>42.27</v>
          </cell>
          <cell r="N18">
            <v>101.11000000000001</v>
          </cell>
          <cell r="AB18">
            <v>79.500452668277106</v>
          </cell>
          <cell r="AL18">
            <v>727.78415825167338</v>
          </cell>
          <cell r="AO18">
            <v>2.6467405236755388</v>
          </cell>
        </row>
        <row r="21">
          <cell r="F21">
            <v>500</v>
          </cell>
          <cell r="M21">
            <v>46.34</v>
          </cell>
          <cell r="AL21">
            <v>781.14288653806921</v>
          </cell>
        </row>
        <row r="22">
          <cell r="F22">
            <v>500</v>
          </cell>
          <cell r="M22">
            <v>120</v>
          </cell>
          <cell r="AL22">
            <v>288.61257274330461</v>
          </cell>
        </row>
        <row r="23">
          <cell r="F23">
            <v>500</v>
          </cell>
          <cell r="M23">
            <v>78.95</v>
          </cell>
          <cell r="AL23">
            <v>257.55537194309881</v>
          </cell>
        </row>
        <row r="24">
          <cell r="F24">
            <v>500</v>
          </cell>
          <cell r="M24">
            <v>10.16</v>
          </cell>
          <cell r="AL24">
            <v>278.10301366641937</v>
          </cell>
        </row>
        <row r="25">
          <cell r="F25">
            <v>500</v>
          </cell>
          <cell r="M25">
            <v>136.4</v>
          </cell>
          <cell r="AL25">
            <v>278.10301366641937</v>
          </cell>
        </row>
        <row r="26">
          <cell r="F26">
            <v>500</v>
          </cell>
          <cell r="M26">
            <v>96.04</v>
          </cell>
          <cell r="AL26">
            <v>278.10301366641937</v>
          </cell>
        </row>
        <row r="27">
          <cell r="F27">
            <v>500</v>
          </cell>
          <cell r="M27">
            <v>54.88</v>
          </cell>
          <cell r="AL27">
            <v>278.10301366641937</v>
          </cell>
        </row>
        <row r="28">
          <cell r="F28">
            <v>500</v>
          </cell>
          <cell r="M28">
            <v>11.59</v>
          </cell>
          <cell r="N28">
            <v>554.36000000000013</v>
          </cell>
          <cell r="U28">
            <v>1.3293130946447744</v>
          </cell>
          <cell r="V28">
            <v>526.16651451233884</v>
          </cell>
          <cell r="Y28">
            <v>6.4412821835947192</v>
          </cell>
          <cell r="AA28">
            <v>134.9702491813504</v>
          </cell>
          <cell r="AB28">
            <v>141.67739398387408</v>
          </cell>
          <cell r="AL28">
            <v>278.10301366641937</v>
          </cell>
        </row>
        <row r="31">
          <cell r="F31">
            <v>600</v>
          </cell>
          <cell r="M31">
            <v>31.62</v>
          </cell>
          <cell r="AL31">
            <v>253.2923276750688</v>
          </cell>
        </row>
        <row r="32">
          <cell r="F32">
            <v>600</v>
          </cell>
          <cell r="M32">
            <v>45.8</v>
          </cell>
          <cell r="AL32">
            <v>253.2923276750688</v>
          </cell>
        </row>
        <row r="33">
          <cell r="F33">
            <v>600</v>
          </cell>
          <cell r="M33">
            <v>86.3</v>
          </cell>
          <cell r="AL33">
            <v>253.2923276750688</v>
          </cell>
        </row>
        <row r="34">
          <cell r="F34">
            <v>600</v>
          </cell>
          <cell r="M34">
            <v>122.64</v>
          </cell>
          <cell r="AL34">
            <v>253.2923276750688</v>
          </cell>
        </row>
        <row r="35">
          <cell r="F35">
            <v>600</v>
          </cell>
          <cell r="M35">
            <v>28.11</v>
          </cell>
          <cell r="N35">
            <v>314.47000000000003</v>
          </cell>
          <cell r="U35">
            <v>10.14410021995498</v>
          </cell>
          <cell r="V35">
            <v>4247.1501085346845</v>
          </cell>
          <cell r="AA35">
            <v>245.12030907693131</v>
          </cell>
          <cell r="AB35">
            <v>280.72511326644724</v>
          </cell>
          <cell r="AL35">
            <v>253.2923276750688</v>
          </cell>
        </row>
        <row r="38">
          <cell r="F38">
            <v>600</v>
          </cell>
          <cell r="M38">
            <v>143.72</v>
          </cell>
          <cell r="AL38">
            <v>367.09864495847569</v>
          </cell>
        </row>
        <row r="39">
          <cell r="F39">
            <v>600</v>
          </cell>
          <cell r="M39">
            <v>100.37</v>
          </cell>
          <cell r="AL39">
            <v>367.09864495847569</v>
          </cell>
        </row>
        <row r="40">
          <cell r="F40">
            <v>600</v>
          </cell>
          <cell r="M40">
            <v>9.41</v>
          </cell>
          <cell r="N40">
            <v>253.5</v>
          </cell>
          <cell r="U40">
            <v>34.816610682606616</v>
          </cell>
          <cell r="V40">
            <v>12448.558489578625</v>
          </cell>
          <cell r="AA40">
            <v>249.91056405305829</v>
          </cell>
          <cell r="AB40">
            <v>356.43760993067406</v>
          </cell>
          <cell r="AL40">
            <v>367.09864495847569</v>
          </cell>
        </row>
        <row r="43">
          <cell r="F43">
            <v>700</v>
          </cell>
          <cell r="M43">
            <v>87.58</v>
          </cell>
          <cell r="AL43">
            <v>447.92800641130867</v>
          </cell>
        </row>
        <row r="44">
          <cell r="F44">
            <v>700</v>
          </cell>
          <cell r="M44">
            <v>33.47</v>
          </cell>
          <cell r="AL44">
            <v>447.92800641130867</v>
          </cell>
        </row>
        <row r="45">
          <cell r="F45">
            <v>700</v>
          </cell>
          <cell r="M45">
            <v>66.03</v>
          </cell>
          <cell r="AL45">
            <v>447.92800641130867</v>
          </cell>
        </row>
        <row r="46">
          <cell r="F46">
            <v>700</v>
          </cell>
          <cell r="M46">
            <v>86.79</v>
          </cell>
          <cell r="AL46">
            <v>447.92800641130867</v>
          </cell>
        </row>
        <row r="47">
          <cell r="F47">
            <v>700</v>
          </cell>
          <cell r="M47">
            <v>117.21</v>
          </cell>
          <cell r="AL47">
            <v>447.92800641130867</v>
          </cell>
        </row>
        <row r="48">
          <cell r="F48">
            <v>700</v>
          </cell>
          <cell r="M48">
            <v>113.8</v>
          </cell>
          <cell r="AL48">
            <v>447.92800641130867</v>
          </cell>
        </row>
        <row r="49">
          <cell r="F49">
            <v>700</v>
          </cell>
          <cell r="M49">
            <v>59.72</v>
          </cell>
          <cell r="AL49">
            <v>447.92800641130867</v>
          </cell>
        </row>
        <row r="50">
          <cell r="F50">
            <v>700</v>
          </cell>
          <cell r="M50">
            <v>110.93</v>
          </cell>
          <cell r="N50">
            <v>675.53</v>
          </cell>
          <cell r="U50">
            <v>49.59131055401182</v>
          </cell>
          <cell r="V50">
            <v>18553.582274985438</v>
          </cell>
          <cell r="AA50">
            <v>383.89674016752133</v>
          </cell>
          <cell r="AB50">
            <v>526.97992659762122</v>
          </cell>
          <cell r="AL50">
            <v>447.92800641130867</v>
          </cell>
        </row>
        <row r="85">
          <cell r="AA85">
            <v>102.02762065078446</v>
          </cell>
        </row>
      </sheetData>
      <sheetData sheetId="20">
        <row r="17">
          <cell r="F17">
            <v>296.60000000000002</v>
          </cell>
          <cell r="AL17">
            <v>63.964952431141086</v>
          </cell>
        </row>
        <row r="18">
          <cell r="N18">
            <v>95.26</v>
          </cell>
          <cell r="U18">
            <v>4.2504482172259195</v>
          </cell>
          <cell r="V18">
            <v>1120.2254825101406</v>
          </cell>
          <cell r="AB18">
            <v>16.864374669060538</v>
          </cell>
        </row>
        <row r="21">
          <cell r="F21">
            <v>296.60000000000002</v>
          </cell>
          <cell r="M21">
            <v>3.16</v>
          </cell>
          <cell r="AL21">
            <v>79.637123573749705</v>
          </cell>
        </row>
        <row r="22">
          <cell r="F22">
            <v>376.6</v>
          </cell>
          <cell r="M22">
            <v>105.71</v>
          </cell>
          <cell r="AL22">
            <v>152.05816068892048</v>
          </cell>
        </row>
        <row r="23">
          <cell r="F23">
            <v>376.6</v>
          </cell>
          <cell r="M23">
            <v>8.93</v>
          </cell>
          <cell r="AL23">
            <v>152.05816068892048</v>
          </cell>
        </row>
        <row r="24">
          <cell r="F24">
            <v>376.6</v>
          </cell>
          <cell r="M24">
            <v>5.4</v>
          </cell>
          <cell r="AL24">
            <v>152.05816068892048</v>
          </cell>
        </row>
        <row r="25">
          <cell r="F25">
            <v>400</v>
          </cell>
          <cell r="M25">
            <v>19.04</v>
          </cell>
          <cell r="AL25">
            <v>113.96499148017502</v>
          </cell>
        </row>
        <row r="26">
          <cell r="F26">
            <v>400</v>
          </cell>
          <cell r="M26">
            <v>1.79</v>
          </cell>
          <cell r="AL26">
            <v>113.96499148017502</v>
          </cell>
        </row>
        <row r="27">
          <cell r="F27">
            <v>400</v>
          </cell>
          <cell r="M27">
            <v>90.46</v>
          </cell>
          <cell r="AL27">
            <v>113.96499148017502</v>
          </cell>
        </row>
        <row r="28">
          <cell r="F28">
            <v>400</v>
          </cell>
          <cell r="M28">
            <v>10.57</v>
          </cell>
          <cell r="AL28">
            <v>113.96499148017502</v>
          </cell>
        </row>
        <row r="29">
          <cell r="F29">
            <v>400</v>
          </cell>
          <cell r="M29">
            <v>16.39</v>
          </cell>
          <cell r="AL29">
            <v>113.96499148017502</v>
          </cell>
        </row>
        <row r="30">
          <cell r="F30">
            <v>400</v>
          </cell>
          <cell r="M30">
            <v>64.66</v>
          </cell>
          <cell r="AL30">
            <v>113.96499148017502</v>
          </cell>
        </row>
        <row r="31">
          <cell r="F31">
            <v>400</v>
          </cell>
          <cell r="M31">
            <v>82.02</v>
          </cell>
          <cell r="AL31">
            <v>113.96499148017502</v>
          </cell>
        </row>
        <row r="32">
          <cell r="F32">
            <v>400</v>
          </cell>
          <cell r="M32">
            <v>51.75</v>
          </cell>
          <cell r="N32">
            <v>459.87999999999988</v>
          </cell>
          <cell r="AB32">
            <v>16.864374669060538</v>
          </cell>
          <cell r="AL32">
            <v>113.96499148017502</v>
          </cell>
        </row>
        <row r="35">
          <cell r="F35">
            <v>500</v>
          </cell>
          <cell r="M35">
            <v>6.02</v>
          </cell>
          <cell r="AL35">
            <v>144.18374385367042</v>
          </cell>
        </row>
        <row r="36">
          <cell r="F36">
            <v>500</v>
          </cell>
          <cell r="M36">
            <v>4.28</v>
          </cell>
          <cell r="AL36">
            <v>144.18374385367042</v>
          </cell>
        </row>
        <row r="37">
          <cell r="F37">
            <v>500</v>
          </cell>
          <cell r="M37">
            <v>76.930000000000007</v>
          </cell>
          <cell r="AL37">
            <v>144.18374385367042</v>
          </cell>
        </row>
        <row r="38">
          <cell r="F38">
            <v>500</v>
          </cell>
          <cell r="M38">
            <v>30.8</v>
          </cell>
          <cell r="AL38">
            <v>144.18374385367042</v>
          </cell>
        </row>
        <row r="39">
          <cell r="F39">
            <v>500</v>
          </cell>
          <cell r="M39">
            <v>6.17</v>
          </cell>
          <cell r="AL39">
            <v>144.18374385367042</v>
          </cell>
        </row>
        <row r="40">
          <cell r="F40">
            <v>500</v>
          </cell>
          <cell r="M40">
            <v>7.47</v>
          </cell>
          <cell r="AL40">
            <v>144.18374385367042</v>
          </cell>
        </row>
        <row r="41">
          <cell r="F41">
            <v>500</v>
          </cell>
          <cell r="M41">
            <v>57.58</v>
          </cell>
          <cell r="AL41">
            <v>144.18374385367042</v>
          </cell>
        </row>
        <row r="42">
          <cell r="F42">
            <v>500</v>
          </cell>
          <cell r="M42">
            <v>11.51</v>
          </cell>
          <cell r="AL42">
            <v>144.18374385367042</v>
          </cell>
        </row>
        <row r="43">
          <cell r="F43">
            <v>500</v>
          </cell>
          <cell r="M43">
            <v>66.34</v>
          </cell>
          <cell r="AL43">
            <v>144.18374385367031</v>
          </cell>
        </row>
        <row r="44">
          <cell r="F44">
            <v>500</v>
          </cell>
          <cell r="M44">
            <v>35.78</v>
          </cell>
          <cell r="AL44">
            <v>144.18374385367031</v>
          </cell>
        </row>
        <row r="45">
          <cell r="F45">
            <v>500</v>
          </cell>
          <cell r="M45">
            <v>12.7</v>
          </cell>
          <cell r="AL45">
            <v>144.18374385367031</v>
          </cell>
        </row>
        <row r="46">
          <cell r="F46">
            <v>500</v>
          </cell>
          <cell r="M46">
            <v>6.1</v>
          </cell>
          <cell r="AL46">
            <v>336.28492384948242</v>
          </cell>
        </row>
        <row r="47">
          <cell r="F47">
            <v>500</v>
          </cell>
          <cell r="M47">
            <v>11.68</v>
          </cell>
          <cell r="N47">
            <v>333.36</v>
          </cell>
          <cell r="U47">
            <v>14.200620675979993</v>
          </cell>
          <cell r="V47">
            <v>4626.8707050343082</v>
          </cell>
          <cell r="AA47">
            <v>19.244577559904378</v>
          </cell>
          <cell r="AB47">
            <v>68.606597898003827</v>
          </cell>
          <cell r="AL47">
            <v>171.00716325435744</v>
          </cell>
        </row>
        <row r="51">
          <cell r="F51">
            <v>500</v>
          </cell>
          <cell r="M51">
            <v>3.49</v>
          </cell>
          <cell r="AL51">
            <v>199.43753443970937</v>
          </cell>
        </row>
        <row r="52">
          <cell r="F52">
            <v>500</v>
          </cell>
          <cell r="M52">
            <v>100</v>
          </cell>
          <cell r="AL52">
            <v>199.43753443970937</v>
          </cell>
        </row>
        <row r="53">
          <cell r="F53">
            <v>500</v>
          </cell>
          <cell r="M53">
            <v>91.78</v>
          </cell>
          <cell r="AL53">
            <v>199.43753443970937</v>
          </cell>
        </row>
        <row r="54">
          <cell r="F54">
            <v>500</v>
          </cell>
          <cell r="M54">
            <v>48.48</v>
          </cell>
          <cell r="AL54">
            <v>199.43753443970937</v>
          </cell>
        </row>
        <row r="55">
          <cell r="F55">
            <v>500</v>
          </cell>
          <cell r="M55">
            <v>75.3</v>
          </cell>
          <cell r="AL55">
            <v>199.43753443970937</v>
          </cell>
        </row>
        <row r="56">
          <cell r="F56">
            <v>500</v>
          </cell>
          <cell r="M56">
            <v>10.02</v>
          </cell>
          <cell r="AL56">
            <v>199.43753443970937</v>
          </cell>
        </row>
        <row r="57">
          <cell r="F57">
            <v>500</v>
          </cell>
          <cell r="M57">
            <v>16.39</v>
          </cell>
          <cell r="N57">
            <v>345.45999999999992</v>
          </cell>
          <cell r="U57">
            <v>5.1408910156714001</v>
          </cell>
          <cell r="V57">
            <v>1177.9340679727843</v>
          </cell>
          <cell r="AA57">
            <v>63.908960325373556</v>
          </cell>
          <cell r="AB57">
            <v>84.230999121215916</v>
          </cell>
          <cell r="AL57">
            <v>199.43753443970937</v>
          </cell>
        </row>
      </sheetData>
      <sheetData sheetId="21">
        <row r="17">
          <cell r="F17">
            <v>235.4</v>
          </cell>
          <cell r="M17">
            <v>94.71</v>
          </cell>
          <cell r="AL17">
            <v>131.59723258905649</v>
          </cell>
        </row>
        <row r="18">
          <cell r="F18">
            <v>235.4</v>
          </cell>
          <cell r="M18">
            <v>37.92</v>
          </cell>
          <cell r="N18">
            <v>132.63</v>
          </cell>
          <cell r="U18">
            <v>1.7580786831909394</v>
          </cell>
          <cell r="V18">
            <v>702.68689357454275</v>
          </cell>
          <cell r="Y18">
            <v>7.555877703141447</v>
          </cell>
          <cell r="AA18">
            <v>8.2142445104828177</v>
          </cell>
          <cell r="AB18">
            <v>16.121737950262453</v>
          </cell>
          <cell r="AL18">
            <v>131.59723258905649</v>
          </cell>
        </row>
        <row r="19">
          <cell r="F19">
            <v>334</v>
          </cell>
          <cell r="M19">
            <v>102.26</v>
          </cell>
          <cell r="AL19">
            <v>126.33212341714784</v>
          </cell>
        </row>
        <row r="20">
          <cell r="F20">
            <v>334</v>
          </cell>
          <cell r="M20">
            <v>79.7</v>
          </cell>
          <cell r="AL20">
            <v>126.33212341714784</v>
          </cell>
        </row>
        <row r="21">
          <cell r="F21">
            <v>400</v>
          </cell>
          <cell r="M21">
            <v>2.35</v>
          </cell>
          <cell r="AL21">
            <v>112.53303567980024</v>
          </cell>
        </row>
        <row r="22">
          <cell r="F22">
            <v>400</v>
          </cell>
          <cell r="M22">
            <v>9.99</v>
          </cell>
          <cell r="AL22">
            <v>122.55836160634811</v>
          </cell>
        </row>
        <row r="23">
          <cell r="F23">
            <v>400</v>
          </cell>
          <cell r="M23">
            <v>7.31</v>
          </cell>
          <cell r="U23">
            <v>15.204129267794992</v>
          </cell>
          <cell r="V23">
            <v>7641.2956397888684</v>
          </cell>
          <cell r="AA23">
            <v>8.2142445104828177</v>
          </cell>
          <cell r="AB23">
            <v>57.927074314423407</v>
          </cell>
          <cell r="AL23">
            <v>910.85538943550284</v>
          </cell>
        </row>
      </sheetData>
      <sheetData sheetId="22">
        <row r="17">
          <cell r="F17">
            <v>350</v>
          </cell>
          <cell r="M17">
            <v>71.2</v>
          </cell>
          <cell r="AL17">
            <v>67.906297024055689</v>
          </cell>
        </row>
        <row r="18">
          <cell r="F18">
            <v>334</v>
          </cell>
          <cell r="M18">
            <v>12.11</v>
          </cell>
          <cell r="AL18">
            <v>76.676284037255058</v>
          </cell>
        </row>
        <row r="19">
          <cell r="F19">
            <v>334</v>
          </cell>
          <cell r="M19">
            <v>99.26</v>
          </cell>
          <cell r="AL19">
            <v>76.676284037255058</v>
          </cell>
        </row>
        <row r="20">
          <cell r="F20">
            <v>334</v>
          </cell>
          <cell r="M20">
            <v>63.05</v>
          </cell>
          <cell r="AL20">
            <v>76.676284037255058</v>
          </cell>
        </row>
        <row r="21">
          <cell r="F21">
            <v>334</v>
          </cell>
          <cell r="M21">
            <v>102.07</v>
          </cell>
          <cell r="AL21">
            <v>76.676284037255058</v>
          </cell>
        </row>
        <row r="22">
          <cell r="F22">
            <v>334</v>
          </cell>
          <cell r="M22">
            <v>96.61</v>
          </cell>
          <cell r="AL22">
            <v>74.40364061484938</v>
          </cell>
        </row>
        <row r="23">
          <cell r="F23">
            <v>334</v>
          </cell>
          <cell r="M23">
            <v>47.98</v>
          </cell>
          <cell r="AL23">
            <v>74.40364061484938</v>
          </cell>
        </row>
        <row r="24">
          <cell r="F24">
            <v>334</v>
          </cell>
          <cell r="M24">
            <v>51.53</v>
          </cell>
          <cell r="AL24">
            <v>74.40364061484938</v>
          </cell>
        </row>
        <row r="25">
          <cell r="F25">
            <v>334</v>
          </cell>
          <cell r="M25">
            <v>58.44</v>
          </cell>
          <cell r="AL25">
            <v>74.40364061484938</v>
          </cell>
        </row>
        <row r="26">
          <cell r="F26">
            <v>334</v>
          </cell>
          <cell r="M26">
            <v>64.23</v>
          </cell>
          <cell r="AL26">
            <v>74.40364061484938</v>
          </cell>
        </row>
        <row r="27">
          <cell r="F27">
            <v>334</v>
          </cell>
          <cell r="M27">
            <v>28.32</v>
          </cell>
          <cell r="AL27">
            <v>74.40364061484938</v>
          </cell>
        </row>
        <row r="28">
          <cell r="F28">
            <v>334</v>
          </cell>
          <cell r="M28">
            <v>89.07</v>
          </cell>
          <cell r="AL28">
            <v>74.40364061484938</v>
          </cell>
        </row>
        <row r="29">
          <cell r="F29">
            <v>334</v>
          </cell>
          <cell r="M29">
            <v>7.29</v>
          </cell>
          <cell r="N29">
            <v>791.16000000000008</v>
          </cell>
          <cell r="U29">
            <v>13.446050584604052</v>
          </cell>
          <cell r="V29">
            <v>6938.6087462143259</v>
          </cell>
          <cell r="AB29">
            <v>44.510478120396563</v>
          </cell>
          <cell r="AL29">
            <v>74.40364061484938</v>
          </cell>
        </row>
      </sheetData>
      <sheetData sheetId="23">
        <row r="17">
          <cell r="F17">
            <v>423.8</v>
          </cell>
          <cell r="M17">
            <v>41.59</v>
          </cell>
          <cell r="AL17">
            <v>115.17872730379533</v>
          </cell>
        </row>
        <row r="18">
          <cell r="F18">
            <v>423.8</v>
          </cell>
          <cell r="M18">
            <v>38.11</v>
          </cell>
          <cell r="AL18">
            <v>115.17872730379533</v>
          </cell>
        </row>
        <row r="19">
          <cell r="F19">
            <v>423.8</v>
          </cell>
          <cell r="M19">
            <v>64.44</v>
          </cell>
          <cell r="AL19">
            <v>115.17872730379533</v>
          </cell>
        </row>
        <row r="20">
          <cell r="F20">
            <v>423.8</v>
          </cell>
          <cell r="M20">
            <v>119.35</v>
          </cell>
          <cell r="AL20">
            <v>115.17872730379533</v>
          </cell>
        </row>
        <row r="21">
          <cell r="F21">
            <v>423.8</v>
          </cell>
          <cell r="M21">
            <v>14.8</v>
          </cell>
          <cell r="AL21">
            <v>115.17872730379533</v>
          </cell>
        </row>
        <row r="22">
          <cell r="F22">
            <v>423.8</v>
          </cell>
          <cell r="M22">
            <v>115.84</v>
          </cell>
          <cell r="N22">
            <v>394.13</v>
          </cell>
          <cell r="U22">
            <v>24.672510462651637</v>
          </cell>
          <cell r="V22">
            <v>8201.4083810439406</v>
          </cell>
          <cell r="AA22">
            <v>4.7902549761269819</v>
          </cell>
          <cell r="AB22">
            <v>84.721379159512722</v>
          </cell>
          <cell r="AL22">
            <v>115.17872730379533</v>
          </cell>
        </row>
      </sheetData>
      <sheetData sheetId="24">
        <row r="17">
          <cell r="F17">
            <v>296.60000000000002</v>
          </cell>
          <cell r="M17">
            <v>50.39</v>
          </cell>
          <cell r="AA17">
            <v>4.7902549761269819</v>
          </cell>
          <cell r="AL17">
            <v>57.989398166047444</v>
          </cell>
        </row>
        <row r="18">
          <cell r="F18">
            <v>296.60000000000002</v>
          </cell>
          <cell r="M18">
            <v>23.29</v>
          </cell>
          <cell r="AL18">
            <v>57.989398166047444</v>
          </cell>
        </row>
        <row r="19">
          <cell r="F19">
            <v>296.60000000000002</v>
          </cell>
          <cell r="M19">
            <v>24.4</v>
          </cell>
          <cell r="N19">
            <v>98.080000000000013</v>
          </cell>
          <cell r="AB19">
            <v>4.7902549761269819</v>
          </cell>
          <cell r="AL19">
            <v>57.989398166047444</v>
          </cell>
        </row>
        <row r="20">
          <cell r="F20">
            <v>376.6</v>
          </cell>
          <cell r="M20">
            <v>18.989999999999998</v>
          </cell>
          <cell r="AL20">
            <v>84.619641959204486</v>
          </cell>
        </row>
        <row r="21">
          <cell r="F21">
            <v>376.6</v>
          </cell>
          <cell r="M21">
            <v>103.84</v>
          </cell>
          <cell r="AL21">
            <v>84.619641959204486</v>
          </cell>
        </row>
        <row r="22">
          <cell r="F22">
            <v>376.6</v>
          </cell>
          <cell r="M22">
            <v>35.770000000000003</v>
          </cell>
          <cell r="AL22">
            <v>84.619641959204486</v>
          </cell>
        </row>
        <row r="23">
          <cell r="F23">
            <v>376.6</v>
          </cell>
          <cell r="M23">
            <v>68.400000000000006</v>
          </cell>
          <cell r="AL23">
            <v>84.619641959204486</v>
          </cell>
        </row>
        <row r="24">
          <cell r="F24">
            <v>376.6</v>
          </cell>
          <cell r="M24">
            <v>58.99</v>
          </cell>
          <cell r="AL24">
            <v>84.619641959204486</v>
          </cell>
        </row>
        <row r="25">
          <cell r="F25">
            <v>376.6</v>
          </cell>
          <cell r="M25">
            <v>87.22</v>
          </cell>
          <cell r="AL25">
            <v>84.619641959204486</v>
          </cell>
        </row>
        <row r="26">
          <cell r="F26">
            <v>376.6</v>
          </cell>
          <cell r="M26">
            <v>113.48</v>
          </cell>
          <cell r="AL26">
            <v>84.048833811577268</v>
          </cell>
        </row>
        <row r="27">
          <cell r="F27">
            <v>376.6</v>
          </cell>
          <cell r="M27">
            <v>131.79</v>
          </cell>
          <cell r="AL27">
            <v>84.048833811577268</v>
          </cell>
        </row>
        <row r="28">
          <cell r="F28">
            <v>376.6</v>
          </cell>
          <cell r="M28">
            <v>18.98</v>
          </cell>
          <cell r="AL28">
            <v>84.048833811577268</v>
          </cell>
        </row>
        <row r="29">
          <cell r="F29">
            <v>376.6</v>
          </cell>
          <cell r="M29">
            <v>113.65</v>
          </cell>
          <cell r="AL29">
            <v>84.048833811577268</v>
          </cell>
        </row>
        <row r="30">
          <cell r="F30">
            <v>376.6</v>
          </cell>
          <cell r="M30">
            <v>93.66</v>
          </cell>
          <cell r="U30">
            <v>14.462671555791397</v>
          </cell>
          <cell r="V30">
            <v>3924.1838114597658</v>
          </cell>
          <cell r="AB30">
            <v>55.999150159689293</v>
          </cell>
          <cell r="AL30">
            <v>84.048833811577268</v>
          </cell>
        </row>
      </sheetData>
      <sheetData sheetId="25">
        <row r="80">
          <cell r="E80">
            <v>315</v>
          </cell>
          <cell r="F80">
            <v>290.60000000000002</v>
          </cell>
          <cell r="AL80">
            <v>61.86837949389632</v>
          </cell>
        </row>
      </sheetData>
      <sheetData sheetId="26">
        <row r="17">
          <cell r="F17">
            <v>400</v>
          </cell>
          <cell r="M17">
            <v>18.29</v>
          </cell>
          <cell r="AL17">
            <v>115.04305088913931</v>
          </cell>
        </row>
        <row r="18">
          <cell r="F18">
            <v>400</v>
          </cell>
          <cell r="M18">
            <v>96.02</v>
          </cell>
          <cell r="AL18">
            <v>115.04305088913931</v>
          </cell>
        </row>
        <row r="19">
          <cell r="F19">
            <v>400</v>
          </cell>
          <cell r="M19">
            <v>125.14</v>
          </cell>
          <cell r="AL19">
            <v>115.04305088913931</v>
          </cell>
        </row>
        <row r="20">
          <cell r="F20">
            <v>400</v>
          </cell>
          <cell r="M20">
            <v>48.68</v>
          </cell>
          <cell r="AL20">
            <v>115.04305088913931</v>
          </cell>
        </row>
        <row r="21">
          <cell r="F21">
            <v>400</v>
          </cell>
          <cell r="M21">
            <v>88.61</v>
          </cell>
          <cell r="AL21">
            <v>115.04305088913931</v>
          </cell>
        </row>
        <row r="22">
          <cell r="F22">
            <v>400</v>
          </cell>
          <cell r="M22">
            <v>56.56</v>
          </cell>
          <cell r="AL22">
            <v>115.04305088913931</v>
          </cell>
        </row>
        <row r="23">
          <cell r="F23">
            <v>400</v>
          </cell>
          <cell r="M23">
            <v>14.82</v>
          </cell>
          <cell r="N23">
            <v>448.12</v>
          </cell>
          <cell r="U23">
            <v>6.0387701008970689</v>
          </cell>
          <cell r="V23">
            <v>2591.7944118075529</v>
          </cell>
          <cell r="AA23">
            <v>110.15005989558091</v>
          </cell>
          <cell r="AB23">
            <v>132.4668534767267</v>
          </cell>
          <cell r="AL23">
            <v>115.04305088913931</v>
          </cell>
        </row>
        <row r="24">
          <cell r="F24">
            <v>450</v>
          </cell>
          <cell r="M24">
            <v>11.47</v>
          </cell>
          <cell r="AL24">
            <v>158.42776820511514</v>
          </cell>
        </row>
        <row r="25">
          <cell r="F25">
            <v>450</v>
          </cell>
          <cell r="M25">
            <v>116.31</v>
          </cell>
          <cell r="AL25">
            <v>563.85654343726685</v>
          </cell>
        </row>
        <row r="26">
          <cell r="F26">
            <v>450</v>
          </cell>
          <cell r="M26">
            <v>79.42</v>
          </cell>
          <cell r="AL26">
            <v>322.76849518209684</v>
          </cell>
        </row>
        <row r="27">
          <cell r="F27">
            <v>450</v>
          </cell>
          <cell r="M27">
            <v>47.61</v>
          </cell>
          <cell r="AL27">
            <v>182.23948166399126</v>
          </cell>
        </row>
        <row r="28">
          <cell r="F28">
            <v>450</v>
          </cell>
          <cell r="M28">
            <v>7.77</v>
          </cell>
          <cell r="AL28">
            <v>167.93026519474907</v>
          </cell>
        </row>
        <row r="29">
          <cell r="F29">
            <v>555.20000000000005</v>
          </cell>
          <cell r="M29">
            <v>12.43</v>
          </cell>
          <cell r="AL29">
            <v>375.60724343251684</v>
          </cell>
        </row>
        <row r="30">
          <cell r="F30">
            <v>630</v>
          </cell>
          <cell r="M30">
            <v>69.760000000000005</v>
          </cell>
          <cell r="AL30">
            <v>416.97699389951458</v>
          </cell>
        </row>
        <row r="31">
          <cell r="F31">
            <v>450</v>
          </cell>
          <cell r="M31">
            <v>104.98</v>
          </cell>
          <cell r="AL31">
            <v>167.93026519474907</v>
          </cell>
        </row>
        <row r="32">
          <cell r="F32">
            <v>450</v>
          </cell>
          <cell r="M32">
            <v>66.11</v>
          </cell>
          <cell r="AL32">
            <v>167.93026519474907</v>
          </cell>
        </row>
        <row r="33">
          <cell r="F33">
            <v>450</v>
          </cell>
          <cell r="M33">
            <v>34.71</v>
          </cell>
          <cell r="AL33">
            <v>167.93026519474907</v>
          </cell>
        </row>
        <row r="34">
          <cell r="F34">
            <v>450</v>
          </cell>
          <cell r="M34">
            <v>129.1</v>
          </cell>
          <cell r="AL34">
            <v>189.08885828797958</v>
          </cell>
        </row>
        <row r="35">
          <cell r="F35">
            <v>450</v>
          </cell>
          <cell r="M35">
            <v>112.75</v>
          </cell>
          <cell r="AL35">
            <v>266.78696701036307</v>
          </cell>
        </row>
        <row r="36">
          <cell r="F36">
            <v>450</v>
          </cell>
          <cell r="M36">
            <v>49.35</v>
          </cell>
          <cell r="U36">
            <v>7.9024156474749061</v>
          </cell>
          <cell r="V36">
            <v>3238.4700312565888</v>
          </cell>
          <cell r="AB36">
            <v>138.7091530240904</v>
          </cell>
          <cell r="AL36">
            <v>244.92421076694552</v>
          </cell>
        </row>
      </sheetData>
      <sheetData sheetId="27">
        <row r="77">
          <cell r="E77">
            <v>250</v>
          </cell>
          <cell r="F77">
            <v>230.6</v>
          </cell>
          <cell r="AL77">
            <v>28.527464032337335</v>
          </cell>
        </row>
      </sheetData>
      <sheetData sheetId="28">
        <row r="17">
          <cell r="F17">
            <v>400</v>
          </cell>
          <cell r="M17">
            <v>8.1</v>
          </cell>
          <cell r="AL17">
            <v>250.52386894456475</v>
          </cell>
        </row>
        <row r="18">
          <cell r="F18">
            <v>400</v>
          </cell>
          <cell r="M18">
            <v>21.73</v>
          </cell>
          <cell r="N18">
            <v>29.83</v>
          </cell>
          <cell r="AB18">
            <v>109.58168025005261</v>
          </cell>
          <cell r="AL18">
            <v>374.54686556952163</v>
          </cell>
        </row>
        <row r="19">
          <cell r="F19">
            <v>400</v>
          </cell>
          <cell r="M19">
            <v>109.71</v>
          </cell>
          <cell r="AL19">
            <v>99.586392306782457</v>
          </cell>
        </row>
        <row r="20">
          <cell r="F20">
            <v>400</v>
          </cell>
          <cell r="M20">
            <v>56.1</v>
          </cell>
          <cell r="AL20">
            <v>99.586392306782457</v>
          </cell>
        </row>
        <row r="21">
          <cell r="F21">
            <v>400</v>
          </cell>
          <cell r="M21">
            <v>80.81</v>
          </cell>
          <cell r="AL21">
            <v>99.586392306782457</v>
          </cell>
        </row>
        <row r="22">
          <cell r="F22">
            <v>400</v>
          </cell>
          <cell r="M22">
            <v>108.31</v>
          </cell>
          <cell r="AL22">
            <v>99.586392306782457</v>
          </cell>
        </row>
        <row r="23">
          <cell r="F23">
            <v>400</v>
          </cell>
          <cell r="M23">
            <v>34.450000000000003</v>
          </cell>
          <cell r="AL23">
            <v>99.586392306782457</v>
          </cell>
        </row>
        <row r="24">
          <cell r="F24">
            <v>400</v>
          </cell>
          <cell r="M24">
            <v>73.45</v>
          </cell>
          <cell r="AL24">
            <v>99.586392306782457</v>
          </cell>
        </row>
        <row r="25">
          <cell r="F25">
            <v>400</v>
          </cell>
          <cell r="M25">
            <v>42.58</v>
          </cell>
          <cell r="AL25">
            <v>99.586392306782457</v>
          </cell>
        </row>
        <row r="26">
          <cell r="F26">
            <v>400</v>
          </cell>
          <cell r="M26">
            <v>46.32</v>
          </cell>
          <cell r="AL26">
            <v>99.586392306782457</v>
          </cell>
        </row>
        <row r="27">
          <cell r="F27">
            <v>400</v>
          </cell>
          <cell r="M27">
            <v>41.9</v>
          </cell>
          <cell r="U27">
            <v>5.4175549187044565</v>
          </cell>
          <cell r="V27">
            <v>2376.2358719912077</v>
          </cell>
          <cell r="AA27">
            <v>89.393759094036284</v>
          </cell>
          <cell r="AB27">
            <v>109.58168025005261</v>
          </cell>
          <cell r="AL27">
            <v>99.586392306782457</v>
          </cell>
        </row>
        <row r="31">
          <cell r="F31">
            <v>296.60000000000002</v>
          </cell>
          <cell r="M31">
            <v>117.08</v>
          </cell>
          <cell r="AL31">
            <v>104.91691645566341</v>
          </cell>
        </row>
        <row r="32">
          <cell r="F32">
            <v>296.60000000000002</v>
          </cell>
          <cell r="M32">
            <v>15.51</v>
          </cell>
          <cell r="AL32">
            <v>159.19838257881892</v>
          </cell>
        </row>
        <row r="33">
          <cell r="F33">
            <v>169.4</v>
          </cell>
          <cell r="M33">
            <v>14.51</v>
          </cell>
          <cell r="N33">
            <v>147.1</v>
          </cell>
          <cell r="AB33">
            <v>20.756300801544619</v>
          </cell>
          <cell r="AL33">
            <v>74.967027006705351</v>
          </cell>
        </row>
      </sheetData>
      <sheetData sheetId="29">
        <row r="18">
          <cell r="F18">
            <v>334</v>
          </cell>
          <cell r="M18">
            <v>108.4</v>
          </cell>
          <cell r="AL18">
            <v>93.826509365102723</v>
          </cell>
        </row>
        <row r="19">
          <cell r="F19">
            <v>334</v>
          </cell>
          <cell r="M19">
            <v>61.48</v>
          </cell>
          <cell r="AL19">
            <v>93.826509365102723</v>
          </cell>
        </row>
        <row r="20">
          <cell r="F20">
            <v>334</v>
          </cell>
          <cell r="M20">
            <v>96.76</v>
          </cell>
          <cell r="AL20">
            <v>93.826509365102723</v>
          </cell>
        </row>
        <row r="21">
          <cell r="F21">
            <v>334</v>
          </cell>
          <cell r="M21">
            <v>105.57</v>
          </cell>
          <cell r="AL21">
            <v>90.012434504067244</v>
          </cell>
        </row>
        <row r="22">
          <cell r="F22">
            <v>334</v>
          </cell>
          <cell r="M22">
            <v>77.819999999999993</v>
          </cell>
          <cell r="AL22">
            <v>97.811147026015973</v>
          </cell>
        </row>
        <row r="23">
          <cell r="F23">
            <v>334</v>
          </cell>
          <cell r="M23">
            <v>101</v>
          </cell>
          <cell r="AL23">
            <v>101.7015161039141</v>
          </cell>
        </row>
        <row r="24">
          <cell r="F24">
            <v>334</v>
          </cell>
          <cell r="M24">
            <v>111.99</v>
          </cell>
          <cell r="AL24">
            <v>168.06868770609665</v>
          </cell>
        </row>
        <row r="25">
          <cell r="F25">
            <v>334</v>
          </cell>
          <cell r="M25">
            <v>88.59</v>
          </cell>
          <cell r="N25">
            <v>751.61</v>
          </cell>
          <cell r="U25">
            <v>3.3893798983718342</v>
          </cell>
          <cell r="V25">
            <v>1356.5408026135744</v>
          </cell>
          <cell r="AA25">
            <v>61.065751289867158</v>
          </cell>
          <cell r="AB25">
            <v>74.320619332786208</v>
          </cell>
          <cell r="AL25">
            <v>175.53343358178458</v>
          </cell>
        </row>
        <row r="28">
          <cell r="F28">
            <v>334</v>
          </cell>
          <cell r="M28">
            <v>20.67</v>
          </cell>
          <cell r="AL28">
            <v>175.53343358178458</v>
          </cell>
        </row>
        <row r="29">
          <cell r="F29">
            <v>334</v>
          </cell>
          <cell r="M29">
            <v>52.13</v>
          </cell>
          <cell r="N29">
            <v>72.800000000000011</v>
          </cell>
          <cell r="U29">
            <v>5.1966163384149375</v>
          </cell>
          <cell r="V29">
            <v>1865.7342037545475</v>
          </cell>
          <cell r="AA29">
            <v>73.160952022438522</v>
          </cell>
          <cell r="AB29">
            <v>92.955171444719497</v>
          </cell>
          <cell r="AL29">
            <v>175.53343358178458</v>
          </cell>
        </row>
        <row r="32">
          <cell r="F32">
            <v>376.6</v>
          </cell>
          <cell r="M32">
            <v>56.06</v>
          </cell>
          <cell r="AL32">
            <v>242.87074199596128</v>
          </cell>
        </row>
        <row r="33">
          <cell r="F33">
            <v>376.6</v>
          </cell>
          <cell r="M33">
            <v>73.78</v>
          </cell>
          <cell r="N33">
            <v>129.84</v>
          </cell>
          <cell r="U33">
            <v>8.2101517805855977</v>
          </cell>
          <cell r="V33">
            <v>3152.2961973040728</v>
          </cell>
          <cell r="AA33">
            <v>73.160952022438522</v>
          </cell>
          <cell r="AB33">
            <v>102.91491030009995</v>
          </cell>
          <cell r="AL33">
            <v>242.87074199596128</v>
          </cell>
        </row>
      </sheetData>
      <sheetData sheetId="30">
        <row r="17">
          <cell r="F17">
            <v>235.4</v>
          </cell>
          <cell r="M17">
            <v>38.75</v>
          </cell>
          <cell r="AL17">
            <v>39.841134019247491</v>
          </cell>
        </row>
        <row r="18">
          <cell r="F18">
            <v>235.4</v>
          </cell>
          <cell r="M18">
            <v>44.62</v>
          </cell>
          <cell r="AL18">
            <v>39.841134019247491</v>
          </cell>
        </row>
        <row r="19">
          <cell r="F19">
            <v>235.4</v>
          </cell>
          <cell r="M19">
            <v>100.62</v>
          </cell>
          <cell r="AL19">
            <v>38.093425175565834</v>
          </cell>
        </row>
        <row r="20">
          <cell r="F20">
            <v>235.4</v>
          </cell>
          <cell r="M20">
            <v>28.8</v>
          </cell>
          <cell r="AL20">
            <v>38.093425175565834</v>
          </cell>
        </row>
        <row r="21">
          <cell r="F21">
            <v>235.4</v>
          </cell>
          <cell r="M21">
            <v>84.23</v>
          </cell>
          <cell r="AL21">
            <v>38.093425175565834</v>
          </cell>
        </row>
        <row r="22">
          <cell r="F22">
            <v>235.4</v>
          </cell>
          <cell r="M22">
            <v>15.413</v>
          </cell>
          <cell r="AL22">
            <v>38.093425175565834</v>
          </cell>
        </row>
        <row r="23">
          <cell r="F23">
            <v>235.4</v>
          </cell>
          <cell r="M23">
            <v>71.48</v>
          </cell>
          <cell r="AL23">
            <v>38.093425175565834</v>
          </cell>
        </row>
        <row r="24">
          <cell r="F24">
            <v>235.4</v>
          </cell>
          <cell r="M24">
            <v>63.45</v>
          </cell>
          <cell r="AL24">
            <v>38.093425175565834</v>
          </cell>
        </row>
        <row r="25">
          <cell r="F25">
            <v>235.4</v>
          </cell>
          <cell r="M25">
            <v>69.27</v>
          </cell>
          <cell r="AL25">
            <v>38.093425175565834</v>
          </cell>
        </row>
        <row r="26">
          <cell r="F26">
            <v>235.4</v>
          </cell>
          <cell r="M26">
            <v>42.17</v>
          </cell>
          <cell r="AL26">
            <v>38.093425175565834</v>
          </cell>
        </row>
        <row r="27">
          <cell r="F27">
            <v>235.4</v>
          </cell>
          <cell r="M27">
            <v>50.85</v>
          </cell>
          <cell r="AL27">
            <v>38.093425175565834</v>
          </cell>
        </row>
        <row r="28">
          <cell r="F28">
            <v>235.4</v>
          </cell>
          <cell r="M28">
            <v>43.99</v>
          </cell>
          <cell r="AL28">
            <v>38.093425175565834</v>
          </cell>
        </row>
        <row r="29">
          <cell r="F29">
            <v>235.4</v>
          </cell>
          <cell r="M29">
            <v>17.739999999999998</v>
          </cell>
          <cell r="N29">
            <v>671.38300000000004</v>
          </cell>
          <cell r="U29">
            <v>1.8072364400431031</v>
          </cell>
          <cell r="V29">
            <v>509.19340114097309</v>
          </cell>
          <cell r="Y29">
            <v>8.0952231548824951</v>
          </cell>
          <cell r="AA29">
            <v>12.09520073257136</v>
          </cell>
          <cell r="AB29">
            <v>20.551871175462477</v>
          </cell>
          <cell r="AL29">
            <v>38.093425175565834</v>
          </cell>
        </row>
      </sheetData>
      <sheetData sheetId="31">
        <row r="17">
          <cell r="AA17">
            <v>28.362283374295423</v>
          </cell>
        </row>
        <row r="28">
          <cell r="F28">
            <v>334</v>
          </cell>
          <cell r="M28">
            <v>119.08</v>
          </cell>
          <cell r="AL28">
            <v>89.395567609361706</v>
          </cell>
        </row>
        <row r="29">
          <cell r="F29">
            <v>334</v>
          </cell>
          <cell r="M29">
            <v>110.25</v>
          </cell>
          <cell r="AL29">
            <v>89.395567609361706</v>
          </cell>
        </row>
        <row r="30">
          <cell r="F30">
            <v>334</v>
          </cell>
          <cell r="M30">
            <v>40.659999999999997</v>
          </cell>
          <cell r="AL30">
            <v>89.395567609361706</v>
          </cell>
        </row>
        <row r="31">
          <cell r="F31">
            <v>334</v>
          </cell>
          <cell r="M31">
            <v>81.53</v>
          </cell>
          <cell r="AL31">
            <v>87.923681567852043</v>
          </cell>
        </row>
        <row r="32">
          <cell r="F32">
            <v>334</v>
          </cell>
          <cell r="M32">
            <v>83.43</v>
          </cell>
          <cell r="AL32">
            <v>87.923681567852043</v>
          </cell>
        </row>
        <row r="33">
          <cell r="F33">
            <v>334</v>
          </cell>
          <cell r="M33">
            <v>12.7</v>
          </cell>
          <cell r="U33">
            <v>2.4908852492385489</v>
          </cell>
          <cell r="V33">
            <v>1048.9384063504044</v>
          </cell>
          <cell r="AB33">
            <v>38.292262344764822</v>
          </cell>
          <cell r="AL33">
            <v>87.923681567852043</v>
          </cell>
        </row>
      </sheetData>
      <sheetData sheetId="32">
        <row r="17">
          <cell r="F17">
            <v>150.6</v>
          </cell>
          <cell r="M17">
            <v>13.09</v>
          </cell>
          <cell r="AL17">
            <v>26.626932877518616</v>
          </cell>
        </row>
        <row r="18">
          <cell r="F18">
            <v>290.60000000000002</v>
          </cell>
          <cell r="M18">
            <v>100.16</v>
          </cell>
          <cell r="N18">
            <v>113.25</v>
          </cell>
          <cell r="AB18">
            <v>16.133763651311199</v>
          </cell>
          <cell r="AL18">
            <v>48.818654040092447</v>
          </cell>
        </row>
        <row r="19">
          <cell r="F19">
            <v>296.60000000000002</v>
          </cell>
          <cell r="M19">
            <v>61.35</v>
          </cell>
          <cell r="AL19">
            <v>75.635948092632603</v>
          </cell>
        </row>
        <row r="20">
          <cell r="F20">
            <v>296.60000000000002</v>
          </cell>
          <cell r="M20">
            <v>33.1</v>
          </cell>
          <cell r="AL20">
            <v>65.12557000361835</v>
          </cell>
        </row>
        <row r="21">
          <cell r="F21">
            <v>296.60000000000002</v>
          </cell>
          <cell r="M21">
            <v>30.46</v>
          </cell>
          <cell r="AL21">
            <v>83.146929191102913</v>
          </cell>
        </row>
        <row r="22">
          <cell r="F22">
            <v>296.60000000000002</v>
          </cell>
          <cell r="M22">
            <v>29.47</v>
          </cell>
          <cell r="AL22">
            <v>69.020081280544659</v>
          </cell>
        </row>
        <row r="23">
          <cell r="F23">
            <v>296.60000000000002</v>
          </cell>
          <cell r="M23">
            <v>85.38</v>
          </cell>
          <cell r="AL23">
            <v>69.053621191402584</v>
          </cell>
        </row>
        <row r="24">
          <cell r="F24">
            <v>296.60000000000002</v>
          </cell>
          <cell r="M24">
            <v>14.2</v>
          </cell>
          <cell r="AL24">
            <v>70.308262301870883</v>
          </cell>
        </row>
        <row r="25">
          <cell r="F25">
            <v>296.60000000000002</v>
          </cell>
          <cell r="M25">
            <v>12.86</v>
          </cell>
          <cell r="AL25">
            <v>80.932074981659568</v>
          </cell>
        </row>
        <row r="26">
          <cell r="F26">
            <v>296.60000000000002</v>
          </cell>
          <cell r="M26">
            <v>84.21</v>
          </cell>
          <cell r="AL26">
            <v>318.63416978417916</v>
          </cell>
        </row>
        <row r="27">
          <cell r="F27">
            <v>296.60000000000002</v>
          </cell>
          <cell r="M27">
            <v>27.79</v>
          </cell>
          <cell r="AL27">
            <v>67.428347393818186</v>
          </cell>
        </row>
        <row r="28">
          <cell r="F28">
            <v>296.60000000000002</v>
          </cell>
          <cell r="M28">
            <v>34.049999999999997</v>
          </cell>
          <cell r="AL28">
            <v>67.34468389914818</v>
          </cell>
        </row>
        <row r="29">
          <cell r="F29">
            <v>296.60000000000002</v>
          </cell>
          <cell r="M29">
            <v>41.7</v>
          </cell>
          <cell r="AL29">
            <v>108.55042521316815</v>
          </cell>
        </row>
        <row r="30">
          <cell r="F30">
            <v>296.60000000000002</v>
          </cell>
          <cell r="M30">
            <v>18.73</v>
          </cell>
          <cell r="AL30">
            <v>86.575826376607921</v>
          </cell>
        </row>
        <row r="31">
          <cell r="F31">
            <v>350</v>
          </cell>
          <cell r="M31">
            <v>9.06</v>
          </cell>
          <cell r="U31">
            <v>3.8443746300084372</v>
          </cell>
          <cell r="V31">
            <v>2284.5810597858326</v>
          </cell>
          <cell r="AA31">
            <v>16.133763651311199</v>
          </cell>
          <cell r="AB31">
            <v>30.512305810499015</v>
          </cell>
          <cell r="AL31">
            <v>661.39383871803079</v>
          </cell>
        </row>
      </sheetData>
      <sheetData sheetId="33">
        <row r="17">
          <cell r="F17">
            <v>235.4</v>
          </cell>
          <cell r="M17">
            <v>30.08</v>
          </cell>
          <cell r="AL17">
            <v>41.106778039624466</v>
          </cell>
        </row>
        <row r="18">
          <cell r="F18">
            <v>250</v>
          </cell>
          <cell r="M18">
            <v>50.98</v>
          </cell>
          <cell r="AL18">
            <v>37.48123631271001</v>
          </cell>
        </row>
        <row r="19">
          <cell r="F19">
            <v>250</v>
          </cell>
          <cell r="M19">
            <v>122.04</v>
          </cell>
          <cell r="AL19">
            <v>37.48123631271001</v>
          </cell>
        </row>
        <row r="20">
          <cell r="F20">
            <v>250</v>
          </cell>
          <cell r="M20">
            <v>194.18</v>
          </cell>
          <cell r="AL20">
            <v>37.48123631271001</v>
          </cell>
        </row>
        <row r="21">
          <cell r="F21">
            <v>250</v>
          </cell>
          <cell r="M21">
            <v>52.08</v>
          </cell>
          <cell r="AL21">
            <v>37.48123631271001</v>
          </cell>
        </row>
        <row r="22">
          <cell r="F22">
            <v>235.4</v>
          </cell>
          <cell r="M22">
            <v>20.63</v>
          </cell>
          <cell r="AL22">
            <v>41.106778039624466</v>
          </cell>
        </row>
        <row r="23">
          <cell r="F23">
            <v>235.4</v>
          </cell>
          <cell r="M23">
            <v>84.77</v>
          </cell>
          <cell r="AL23">
            <v>41.106778039624466</v>
          </cell>
        </row>
        <row r="24">
          <cell r="F24">
            <v>235.4</v>
          </cell>
          <cell r="M24">
            <v>41.52</v>
          </cell>
          <cell r="AL24">
            <v>41.106778039624466</v>
          </cell>
        </row>
        <row r="25">
          <cell r="F25">
            <v>235.4</v>
          </cell>
          <cell r="M25">
            <v>39.909999999999997</v>
          </cell>
          <cell r="AL25">
            <v>41.106778039624466</v>
          </cell>
        </row>
        <row r="26">
          <cell r="F26">
            <v>235.4</v>
          </cell>
          <cell r="M26">
            <v>66.39</v>
          </cell>
          <cell r="AL26">
            <v>41.106778039624466</v>
          </cell>
        </row>
        <row r="27">
          <cell r="F27">
            <v>235.4</v>
          </cell>
          <cell r="M27">
            <v>37.24</v>
          </cell>
          <cell r="AL27">
            <v>41.106778039624466</v>
          </cell>
        </row>
        <row r="28">
          <cell r="F28">
            <v>235.4</v>
          </cell>
          <cell r="M28">
            <v>21.19</v>
          </cell>
          <cell r="AL28">
            <v>41.106778039624466</v>
          </cell>
        </row>
        <row r="29">
          <cell r="F29">
            <v>235.4</v>
          </cell>
          <cell r="M29">
            <v>59.8</v>
          </cell>
          <cell r="AL29">
            <v>41.106778039624466</v>
          </cell>
        </row>
        <row r="30">
          <cell r="F30">
            <v>235.4</v>
          </cell>
          <cell r="M30">
            <v>47.34</v>
          </cell>
          <cell r="AL30">
            <v>41.106778039624466</v>
          </cell>
        </row>
        <row r="31">
          <cell r="F31">
            <v>235.4</v>
          </cell>
          <cell r="M31">
            <v>59.53</v>
          </cell>
          <cell r="AL31">
            <v>41.106778039624466</v>
          </cell>
        </row>
        <row r="32">
          <cell r="F32">
            <v>235.4</v>
          </cell>
          <cell r="M32">
            <v>37.56</v>
          </cell>
          <cell r="AL32">
            <v>41.106778039624466</v>
          </cell>
        </row>
        <row r="33">
          <cell r="F33">
            <v>235.4</v>
          </cell>
          <cell r="M33">
            <v>69.959999999999994</v>
          </cell>
          <cell r="AL33">
            <v>41.106778039624466</v>
          </cell>
        </row>
        <row r="34">
          <cell r="F34">
            <v>235.4</v>
          </cell>
          <cell r="M34">
            <v>44.46</v>
          </cell>
          <cell r="AL34">
            <v>41.106778039624466</v>
          </cell>
        </row>
        <row r="35">
          <cell r="F35">
            <v>235.4</v>
          </cell>
          <cell r="M35">
            <v>27.48</v>
          </cell>
          <cell r="AL35">
            <v>41.106778039624466</v>
          </cell>
        </row>
        <row r="36">
          <cell r="F36">
            <v>235.4</v>
          </cell>
          <cell r="M36">
            <v>40.1</v>
          </cell>
          <cell r="AL36">
            <v>41.106778039624466</v>
          </cell>
        </row>
        <row r="37">
          <cell r="F37">
            <v>235.4</v>
          </cell>
          <cell r="M37">
            <v>95.33</v>
          </cell>
          <cell r="AL37">
            <v>41.106778039624466</v>
          </cell>
        </row>
        <row r="38">
          <cell r="F38">
            <v>235.4</v>
          </cell>
          <cell r="M38">
            <v>41.08</v>
          </cell>
          <cell r="AL38">
            <v>41.106778039624466</v>
          </cell>
        </row>
        <row r="39">
          <cell r="F39">
            <v>235.4</v>
          </cell>
          <cell r="M39">
            <v>21.13</v>
          </cell>
          <cell r="AL39">
            <v>41.106778039624466</v>
          </cell>
        </row>
        <row r="40">
          <cell r="F40">
            <v>235.4</v>
          </cell>
          <cell r="M40">
            <v>67.599999999999994</v>
          </cell>
          <cell r="AL40">
            <v>41.106778039624466</v>
          </cell>
        </row>
        <row r="41">
          <cell r="F41">
            <v>235.4</v>
          </cell>
          <cell r="M41">
            <v>110</v>
          </cell>
          <cell r="AL41">
            <v>41.106778039624466</v>
          </cell>
        </row>
        <row r="42">
          <cell r="F42">
            <v>235.4</v>
          </cell>
          <cell r="M42">
            <v>41.23</v>
          </cell>
          <cell r="AL42">
            <v>41.106778039624466</v>
          </cell>
        </row>
        <row r="43">
          <cell r="F43">
            <v>235.4</v>
          </cell>
          <cell r="M43">
            <v>84.1</v>
          </cell>
          <cell r="AL43">
            <v>41.106778039624466</v>
          </cell>
        </row>
        <row r="44">
          <cell r="F44">
            <v>235.4</v>
          </cell>
          <cell r="M44">
            <v>40.49</v>
          </cell>
          <cell r="AL44">
            <v>41.106778039624466</v>
          </cell>
        </row>
        <row r="45">
          <cell r="F45">
            <v>235.4</v>
          </cell>
          <cell r="M45">
            <v>13.81</v>
          </cell>
          <cell r="AL45">
            <v>41.106778039624466</v>
          </cell>
        </row>
        <row r="46">
          <cell r="F46">
            <v>376.6</v>
          </cell>
          <cell r="M46">
            <v>5.98</v>
          </cell>
          <cell r="AL46">
            <v>147.26122648922689</v>
          </cell>
        </row>
        <row r="47">
          <cell r="F47">
            <v>376.6</v>
          </cell>
          <cell r="M47">
            <v>12.58</v>
          </cell>
          <cell r="N47">
            <v>1680.5699999999997</v>
          </cell>
          <cell r="U47">
            <v>9.2402461759806407</v>
          </cell>
          <cell r="V47">
            <v>4690.4266714008299</v>
          </cell>
          <cell r="AA47">
            <v>3.0421649663518773</v>
          </cell>
          <cell r="AB47">
            <v>35.111471799411319</v>
          </cell>
          <cell r="AL47">
            <v>147.26122648922689</v>
          </cell>
        </row>
      </sheetData>
      <sheetData sheetId="34">
        <row r="17">
          <cell r="F17">
            <v>500</v>
          </cell>
          <cell r="M17">
            <v>21.03</v>
          </cell>
          <cell r="AL17">
            <v>569.88990743569195</v>
          </cell>
        </row>
        <row r="18">
          <cell r="F18">
            <v>500</v>
          </cell>
          <cell r="M18">
            <v>74.78</v>
          </cell>
          <cell r="AL18">
            <v>183.98863057920173</v>
          </cell>
        </row>
        <row r="19">
          <cell r="F19">
            <v>500</v>
          </cell>
          <cell r="M19">
            <v>74.16</v>
          </cell>
          <cell r="AL19">
            <v>183.98863057920173</v>
          </cell>
        </row>
        <row r="20">
          <cell r="F20">
            <v>500</v>
          </cell>
          <cell r="M20">
            <v>13.36</v>
          </cell>
          <cell r="AL20">
            <v>290.65319348734636</v>
          </cell>
        </row>
        <row r="21">
          <cell r="F21">
            <v>500</v>
          </cell>
          <cell r="M21">
            <v>25.28</v>
          </cell>
          <cell r="AL21">
            <v>306.60248575456245</v>
          </cell>
        </row>
        <row r="22">
          <cell r="F22">
            <v>500</v>
          </cell>
          <cell r="M22">
            <v>53.55</v>
          </cell>
          <cell r="AL22">
            <v>445.10188598346389</v>
          </cell>
        </row>
        <row r="23">
          <cell r="F23">
            <v>500</v>
          </cell>
          <cell r="M23">
            <v>84.39</v>
          </cell>
          <cell r="AL23">
            <v>247.17747761805032</v>
          </cell>
        </row>
        <row r="24">
          <cell r="F24">
            <v>500</v>
          </cell>
          <cell r="M24">
            <v>120.56</v>
          </cell>
          <cell r="AL24">
            <v>218.91910899118071</v>
          </cell>
        </row>
        <row r="25">
          <cell r="F25">
            <v>500</v>
          </cell>
          <cell r="M25">
            <v>78.260000000000005</v>
          </cell>
          <cell r="AL25">
            <v>218.91910899118071</v>
          </cell>
        </row>
        <row r="26">
          <cell r="F26">
            <v>500</v>
          </cell>
          <cell r="M26">
            <v>122.83</v>
          </cell>
          <cell r="AL26">
            <v>218.91910899118071</v>
          </cell>
        </row>
        <row r="27">
          <cell r="F27">
            <v>500</v>
          </cell>
          <cell r="M27">
            <v>126.97</v>
          </cell>
          <cell r="AL27">
            <v>465.82075436337249</v>
          </cell>
        </row>
        <row r="28">
          <cell r="F28">
            <v>500</v>
          </cell>
          <cell r="M28">
            <v>109.53</v>
          </cell>
          <cell r="AL28">
            <v>563.9728530793999</v>
          </cell>
        </row>
        <row r="29">
          <cell r="F29">
            <v>500</v>
          </cell>
          <cell r="M29">
            <v>71.47</v>
          </cell>
          <cell r="AL29">
            <v>563.9728530793999</v>
          </cell>
        </row>
        <row r="30">
          <cell r="F30">
            <v>500</v>
          </cell>
          <cell r="M30">
            <v>86.35</v>
          </cell>
          <cell r="AL30">
            <v>563.9728530793999</v>
          </cell>
        </row>
        <row r="31">
          <cell r="F31">
            <v>500</v>
          </cell>
          <cell r="M31">
            <v>107.55</v>
          </cell>
          <cell r="AL31">
            <v>228.45146173545868</v>
          </cell>
        </row>
        <row r="32">
          <cell r="F32">
            <v>500</v>
          </cell>
          <cell r="M32">
            <v>62.5</v>
          </cell>
          <cell r="AL32">
            <v>228.45146173545868</v>
          </cell>
        </row>
        <row r="33">
          <cell r="F33">
            <v>500</v>
          </cell>
          <cell r="M33">
            <v>41.85</v>
          </cell>
          <cell r="AL33">
            <v>228.45146173545868</v>
          </cell>
        </row>
        <row r="34">
          <cell r="F34">
            <v>500</v>
          </cell>
          <cell r="M34">
            <v>121.11</v>
          </cell>
          <cell r="AL34">
            <v>191.60327040101802</v>
          </cell>
        </row>
        <row r="35">
          <cell r="F35">
            <v>500</v>
          </cell>
          <cell r="M35">
            <v>120.68</v>
          </cell>
          <cell r="AL35">
            <v>191.60327040101802</v>
          </cell>
        </row>
        <row r="36">
          <cell r="F36">
            <v>500</v>
          </cell>
          <cell r="M36">
            <v>47.67</v>
          </cell>
          <cell r="AL36">
            <v>191.60327040101802</v>
          </cell>
        </row>
        <row r="37">
          <cell r="F37">
            <v>500</v>
          </cell>
          <cell r="M37">
            <v>16.52</v>
          </cell>
          <cell r="AL37">
            <v>210.12282867421578</v>
          </cell>
        </row>
        <row r="38">
          <cell r="F38">
            <v>500</v>
          </cell>
          <cell r="M38">
            <v>6.28</v>
          </cell>
          <cell r="N38">
            <v>1586.6799999999998</v>
          </cell>
          <cell r="U38">
            <v>12.93789903182542</v>
          </cell>
          <cell r="V38">
            <v>5548.3056668260151</v>
          </cell>
          <cell r="AA38">
            <v>102.02762065078446</v>
          </cell>
          <cell r="AB38">
            <v>146.0529874047898</v>
          </cell>
          <cell r="AL38">
            <v>210.12282867421578</v>
          </cell>
        </row>
      </sheetData>
      <sheetData sheetId="35">
        <row r="17">
          <cell r="F17">
            <v>500</v>
          </cell>
          <cell r="M17">
            <v>8.3000000000000007</v>
          </cell>
          <cell r="AL17">
            <v>177.77827293823952</v>
          </cell>
        </row>
        <row r="18">
          <cell r="F18">
            <v>500</v>
          </cell>
          <cell r="M18">
            <v>95.37</v>
          </cell>
          <cell r="AL18">
            <v>177.77827293823952</v>
          </cell>
        </row>
        <row r="19">
          <cell r="F19">
            <v>500</v>
          </cell>
          <cell r="M19">
            <v>70.13</v>
          </cell>
          <cell r="AL19">
            <v>177.77827293823952</v>
          </cell>
        </row>
        <row r="20">
          <cell r="F20">
            <v>500</v>
          </cell>
          <cell r="M20">
            <v>7.31</v>
          </cell>
          <cell r="AL20">
            <v>177.77827293823952</v>
          </cell>
        </row>
        <row r="21">
          <cell r="F21">
            <v>500</v>
          </cell>
          <cell r="M21">
            <v>12.96</v>
          </cell>
          <cell r="AL21">
            <v>177.77827293823952</v>
          </cell>
        </row>
        <row r="22">
          <cell r="F22">
            <v>500</v>
          </cell>
          <cell r="M22">
            <v>21.1</v>
          </cell>
          <cell r="AL22">
            <v>177.77827293823952</v>
          </cell>
        </row>
        <row r="23">
          <cell r="F23">
            <v>500</v>
          </cell>
          <cell r="M23">
            <v>79.290000000000006</v>
          </cell>
          <cell r="AL23">
            <v>236.53542993343234</v>
          </cell>
        </row>
        <row r="24">
          <cell r="F24">
            <v>500</v>
          </cell>
          <cell r="M24">
            <v>97.66</v>
          </cell>
          <cell r="AL24">
            <v>236.53542993343234</v>
          </cell>
        </row>
        <row r="25">
          <cell r="F25">
            <v>500</v>
          </cell>
          <cell r="M25">
            <v>112.19</v>
          </cell>
          <cell r="AL25">
            <v>236.53542993343234</v>
          </cell>
        </row>
        <row r="26">
          <cell r="F26">
            <v>500</v>
          </cell>
          <cell r="M26">
            <v>101.29</v>
          </cell>
          <cell r="AL26">
            <v>183.88444179181189</v>
          </cell>
        </row>
        <row r="27">
          <cell r="F27">
            <v>500</v>
          </cell>
          <cell r="M27">
            <v>85.34</v>
          </cell>
          <cell r="AL27">
            <v>183.88444179181189</v>
          </cell>
        </row>
        <row r="28">
          <cell r="F28">
            <v>500</v>
          </cell>
          <cell r="M28">
            <v>72.27</v>
          </cell>
          <cell r="AL28">
            <v>183.88444179181189</v>
          </cell>
        </row>
        <row r="29">
          <cell r="F29">
            <v>500</v>
          </cell>
          <cell r="M29">
            <v>50.77</v>
          </cell>
          <cell r="AL29">
            <v>183.88444179181189</v>
          </cell>
        </row>
        <row r="30">
          <cell r="F30">
            <v>500</v>
          </cell>
          <cell r="M30">
            <v>100.22</v>
          </cell>
          <cell r="AL30">
            <v>183.88444179181189</v>
          </cell>
        </row>
        <row r="31">
          <cell r="F31">
            <v>500</v>
          </cell>
          <cell r="M31">
            <v>6.19</v>
          </cell>
          <cell r="AL31">
            <v>183.88444179181189</v>
          </cell>
        </row>
        <row r="32">
          <cell r="F32">
            <v>500</v>
          </cell>
          <cell r="M32">
            <v>3</v>
          </cell>
          <cell r="N32">
            <v>923.3900000000001</v>
          </cell>
          <cell r="U32">
            <v>4.276017017850914</v>
          </cell>
          <cell r="V32">
            <v>1279.7727482009791</v>
          </cell>
          <cell r="AA32">
            <v>99.731239197944006</v>
          </cell>
          <cell r="AB32">
            <v>116.52901262225349</v>
          </cell>
          <cell r="AL32">
            <v>168.5032990778426</v>
          </cell>
        </row>
      </sheetData>
      <sheetData sheetId="36">
        <row r="17">
          <cell r="F17">
            <v>235.4</v>
          </cell>
          <cell r="M17">
            <v>8.5299999999999994</v>
          </cell>
          <cell r="P17">
            <v>0.12873788571352479</v>
          </cell>
          <cell r="Q17">
            <v>67.213528950608435</v>
          </cell>
          <cell r="Y17">
            <v>2.9021358693179655</v>
          </cell>
          <cell r="AA17">
            <v>29.804539161393805</v>
          </cell>
          <cell r="AL17">
            <v>105.01659593753102</v>
          </cell>
        </row>
        <row r="18">
          <cell r="F18">
            <v>235.4</v>
          </cell>
          <cell r="M18">
            <v>103.67</v>
          </cell>
          <cell r="AL18">
            <v>56.603024791762003</v>
          </cell>
        </row>
        <row r="19">
          <cell r="F19">
            <v>235.4</v>
          </cell>
          <cell r="M19">
            <v>110.45</v>
          </cell>
          <cell r="AL19">
            <v>49.753656058359624</v>
          </cell>
        </row>
        <row r="20">
          <cell r="F20">
            <v>235.4</v>
          </cell>
          <cell r="M20">
            <v>23.4</v>
          </cell>
          <cell r="AL20">
            <v>51.037640885498526</v>
          </cell>
        </row>
        <row r="21">
          <cell r="F21">
            <v>235.4</v>
          </cell>
          <cell r="M21">
            <v>24.89</v>
          </cell>
          <cell r="AL21">
            <v>51.037640885498526</v>
          </cell>
        </row>
        <row r="22">
          <cell r="F22">
            <v>235.4</v>
          </cell>
          <cell r="M22">
            <v>46.51</v>
          </cell>
          <cell r="AL22">
            <v>51.037640885498526</v>
          </cell>
        </row>
        <row r="23">
          <cell r="F23">
            <v>235.4</v>
          </cell>
          <cell r="M23">
            <v>93.55</v>
          </cell>
          <cell r="N23">
            <v>411</v>
          </cell>
          <cell r="AB23">
            <v>32.732422607854474</v>
          </cell>
          <cell r="AL23">
            <v>51.037640885498526</v>
          </cell>
        </row>
        <row r="24">
          <cell r="F24">
            <v>235.4</v>
          </cell>
          <cell r="M24">
            <v>26.37</v>
          </cell>
          <cell r="AL24">
            <v>51.037640885498526</v>
          </cell>
        </row>
        <row r="25">
          <cell r="F25">
            <v>334</v>
          </cell>
          <cell r="M25">
            <v>86.86</v>
          </cell>
          <cell r="AL25">
            <v>78.363338463918197</v>
          </cell>
        </row>
        <row r="26">
          <cell r="F26">
            <v>334</v>
          </cell>
          <cell r="M26">
            <v>92.98</v>
          </cell>
          <cell r="AL26">
            <v>78.363338463918197</v>
          </cell>
        </row>
        <row r="27">
          <cell r="F27">
            <v>334</v>
          </cell>
          <cell r="M27">
            <v>99.6</v>
          </cell>
          <cell r="AL27">
            <v>78.363338463918197</v>
          </cell>
        </row>
        <row r="28">
          <cell r="F28">
            <v>334</v>
          </cell>
          <cell r="M28">
            <v>105.67</v>
          </cell>
          <cell r="AL28">
            <v>78.363338463918197</v>
          </cell>
        </row>
        <row r="29">
          <cell r="F29">
            <v>334</v>
          </cell>
          <cell r="M29">
            <v>9.33</v>
          </cell>
          <cell r="AL29">
            <v>78.363338463918197</v>
          </cell>
        </row>
        <row r="30">
          <cell r="F30">
            <v>334</v>
          </cell>
          <cell r="M30">
            <v>5.27</v>
          </cell>
          <cell r="AL30">
            <v>78.363338463918197</v>
          </cell>
        </row>
        <row r="31">
          <cell r="F31">
            <v>334</v>
          </cell>
          <cell r="M31">
            <v>6.74</v>
          </cell>
          <cell r="AL31">
            <v>83.323610857225916</v>
          </cell>
        </row>
        <row r="32">
          <cell r="F32">
            <v>334</v>
          </cell>
          <cell r="M32">
            <v>14.59</v>
          </cell>
          <cell r="AL32">
            <v>83.323610857225916</v>
          </cell>
        </row>
        <row r="33">
          <cell r="F33">
            <v>334</v>
          </cell>
          <cell r="M33">
            <v>13.24</v>
          </cell>
          <cell r="AL33">
            <v>83.323610857225916</v>
          </cell>
        </row>
        <row r="34">
          <cell r="F34">
            <v>334</v>
          </cell>
          <cell r="M34">
            <v>5</v>
          </cell>
          <cell r="AL34">
            <v>83.323610857225916</v>
          </cell>
        </row>
        <row r="35">
          <cell r="F35">
            <v>334</v>
          </cell>
          <cell r="M35">
            <v>5</v>
          </cell>
          <cell r="U35">
            <v>6.8604549024026564</v>
          </cell>
          <cell r="V35">
            <v>3112.8689923084817</v>
          </cell>
          <cell r="AB35">
            <v>54.699269169726819</v>
          </cell>
          <cell r="AL35">
            <v>172.32752860790612</v>
          </cell>
        </row>
      </sheetData>
      <sheetData sheetId="37">
        <row r="70">
          <cell r="E70">
            <v>250</v>
          </cell>
          <cell r="F70">
            <v>230.6</v>
          </cell>
          <cell r="AL70">
            <v>19.016809916366149</v>
          </cell>
        </row>
      </sheetData>
      <sheetData sheetId="38">
        <row r="17">
          <cell r="F17">
            <v>334</v>
          </cell>
          <cell r="M17">
            <v>15.14</v>
          </cell>
          <cell r="AL17">
            <v>72.785025781151873</v>
          </cell>
        </row>
        <row r="18">
          <cell r="F18">
            <v>334</v>
          </cell>
          <cell r="M18">
            <v>76</v>
          </cell>
          <cell r="AL18">
            <v>87.330814202327133</v>
          </cell>
        </row>
        <row r="19">
          <cell r="F19">
            <v>334</v>
          </cell>
          <cell r="M19">
            <v>76.8</v>
          </cell>
          <cell r="AL19">
            <v>93.637744200489934</v>
          </cell>
        </row>
        <row r="20">
          <cell r="F20">
            <v>334</v>
          </cell>
          <cell r="M20">
            <v>63.3</v>
          </cell>
          <cell r="AL20">
            <v>93.165553598522635</v>
          </cell>
        </row>
        <row r="21">
          <cell r="F21">
            <v>235.4</v>
          </cell>
          <cell r="M21">
            <v>65.8</v>
          </cell>
          <cell r="AL21">
            <v>40.819918627019497</v>
          </cell>
        </row>
        <row r="22">
          <cell r="F22">
            <v>235.4</v>
          </cell>
          <cell r="M22">
            <v>60.1</v>
          </cell>
          <cell r="AL22">
            <v>34.368255779102981</v>
          </cell>
        </row>
        <row r="23">
          <cell r="F23">
            <v>235.4</v>
          </cell>
          <cell r="M23">
            <v>77.900000000000006</v>
          </cell>
          <cell r="AL23">
            <v>31.670901403810021</v>
          </cell>
        </row>
        <row r="24">
          <cell r="F24">
            <v>235.4</v>
          </cell>
          <cell r="M24">
            <v>79.900000000000006</v>
          </cell>
          <cell r="AL24">
            <v>26.330295558184801</v>
          </cell>
        </row>
        <row r="25">
          <cell r="F25">
            <v>235.4</v>
          </cell>
          <cell r="M25">
            <v>56.9</v>
          </cell>
          <cell r="AL25">
            <v>32.842511125916161</v>
          </cell>
        </row>
        <row r="26">
          <cell r="F26">
            <v>235.4</v>
          </cell>
          <cell r="M26">
            <v>47</v>
          </cell>
          <cell r="AL26">
            <v>44.55985063736744</v>
          </cell>
        </row>
        <row r="27">
          <cell r="F27">
            <v>235.4</v>
          </cell>
          <cell r="M27">
            <v>37.33</v>
          </cell>
          <cell r="AL27">
            <v>25.196295974392363</v>
          </cell>
        </row>
        <row r="28">
          <cell r="F28">
            <v>235.4</v>
          </cell>
          <cell r="M28">
            <v>58.56</v>
          </cell>
          <cell r="AL28">
            <v>25.196295974392363</v>
          </cell>
        </row>
        <row r="29">
          <cell r="F29">
            <v>235.4</v>
          </cell>
          <cell r="M29">
            <v>88.8</v>
          </cell>
          <cell r="N29">
            <v>803.53</v>
          </cell>
          <cell r="AB29">
            <v>24.53861728730363</v>
          </cell>
          <cell r="AL29">
            <v>25.196295974392363</v>
          </cell>
        </row>
        <row r="30">
          <cell r="M30">
            <v>67.010000000000005</v>
          </cell>
          <cell r="AL30">
            <v>20.117285254936469</v>
          </cell>
        </row>
        <row r="31">
          <cell r="M31">
            <v>58.47</v>
          </cell>
        </row>
        <row r="32">
          <cell r="F32">
            <v>235.4</v>
          </cell>
          <cell r="M32">
            <v>91.02</v>
          </cell>
          <cell r="AL32">
            <v>31.398403781983038</v>
          </cell>
        </row>
        <row r="33">
          <cell r="F33">
            <v>235.4</v>
          </cell>
          <cell r="M33">
            <v>101.99</v>
          </cell>
          <cell r="AL33">
            <v>26.896253847988586</v>
          </cell>
        </row>
        <row r="34">
          <cell r="F34">
            <v>235.4</v>
          </cell>
          <cell r="M34">
            <v>72.180000000000007</v>
          </cell>
          <cell r="AL34">
            <v>34.310438311422779</v>
          </cell>
        </row>
        <row r="35">
          <cell r="F35">
            <v>235.4</v>
          </cell>
          <cell r="M35">
            <v>47.5</v>
          </cell>
          <cell r="AL35">
            <v>80.310556622681673</v>
          </cell>
        </row>
        <row r="36">
          <cell r="F36">
            <v>235.4</v>
          </cell>
          <cell r="M36">
            <v>18.14</v>
          </cell>
          <cell r="AB36">
            <v>32.483609772960754</v>
          </cell>
          <cell r="AL36">
            <v>34.589585207176228</v>
          </cell>
        </row>
      </sheetData>
      <sheetData sheetId="39">
        <row r="17">
          <cell r="F17">
            <v>334</v>
          </cell>
          <cell r="M17">
            <v>75.37</v>
          </cell>
          <cell r="AL17">
            <v>87.937343031004588</v>
          </cell>
        </row>
        <row r="18">
          <cell r="F18">
            <v>334</v>
          </cell>
          <cell r="M18">
            <v>65.14</v>
          </cell>
          <cell r="AB18">
            <v>11.356497493139956</v>
          </cell>
          <cell r="AL18">
            <v>119.51160950987715</v>
          </cell>
        </row>
        <row r="21">
          <cell r="F21">
            <v>188.2</v>
          </cell>
          <cell r="M21">
            <v>53.93</v>
          </cell>
          <cell r="AL21">
            <v>38.293199774849015</v>
          </cell>
        </row>
        <row r="22">
          <cell r="F22">
            <v>188.2</v>
          </cell>
          <cell r="M22">
            <v>65.45</v>
          </cell>
          <cell r="AL22">
            <v>16.549156811978904</v>
          </cell>
        </row>
        <row r="23">
          <cell r="F23">
            <v>296.60000000000002</v>
          </cell>
          <cell r="M23">
            <v>43.11</v>
          </cell>
          <cell r="AL23">
            <v>59.578528400360483</v>
          </cell>
        </row>
        <row r="24">
          <cell r="F24">
            <v>296.60000000000002</v>
          </cell>
          <cell r="M24">
            <v>61.51</v>
          </cell>
          <cell r="AL24">
            <v>64.445569359296385</v>
          </cell>
        </row>
        <row r="25">
          <cell r="F25">
            <v>296.60000000000002</v>
          </cell>
          <cell r="M25">
            <v>56.66</v>
          </cell>
          <cell r="AL25">
            <v>58.686018927132189</v>
          </cell>
        </row>
        <row r="26">
          <cell r="F26">
            <v>296.60000000000002</v>
          </cell>
          <cell r="M26">
            <v>63.06</v>
          </cell>
          <cell r="AL26">
            <v>52.963152033406239</v>
          </cell>
        </row>
        <row r="27">
          <cell r="F27">
            <v>296.60000000000002</v>
          </cell>
          <cell r="M27">
            <v>42.45</v>
          </cell>
          <cell r="AL27">
            <v>61.131620554816045</v>
          </cell>
        </row>
        <row r="28">
          <cell r="F28">
            <v>296.60000000000002</v>
          </cell>
          <cell r="M28">
            <v>43.37</v>
          </cell>
          <cell r="AL28">
            <v>63.863996991756004</v>
          </cell>
        </row>
        <row r="29">
          <cell r="F29">
            <v>296.60000000000002</v>
          </cell>
          <cell r="M29">
            <v>23.07</v>
          </cell>
          <cell r="AL29">
            <v>51.153571931453072</v>
          </cell>
        </row>
        <row r="30">
          <cell r="F30">
            <v>334</v>
          </cell>
          <cell r="M30">
            <v>48.54</v>
          </cell>
          <cell r="N30">
            <v>501.15</v>
          </cell>
          <cell r="U30">
            <v>11.574548602888324</v>
          </cell>
          <cell r="V30">
            <v>6252.8949660111484</v>
          </cell>
          <cell r="AA30">
            <v>41.640473223061399</v>
          </cell>
          <cell r="AB30">
            <v>80.457508348657086</v>
          </cell>
          <cell r="AL30">
            <v>483.76877129802455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59.116162196112924</v>
          </cell>
          <cell r="V19">
            <v>35805.522066986443</v>
          </cell>
          <cell r="AB19">
            <v>291.47949647895558</v>
          </cell>
        </row>
        <row r="25">
          <cell r="U25">
            <v>65.184608457356575</v>
          </cell>
          <cell r="V25">
            <v>39801.337508640368</v>
          </cell>
          <cell r="AB25">
            <v>304.38902292447386</v>
          </cell>
        </row>
        <row r="41">
          <cell r="U41">
            <v>81.214076217724283</v>
          </cell>
          <cell r="V41">
            <v>48929.890974215028</v>
          </cell>
          <cell r="AA41">
            <v>137.6429456058614</v>
          </cell>
          <cell r="AB41">
            <v>338.5103016176339</v>
          </cell>
        </row>
      </sheetData>
      <sheetData sheetId="3">
        <row r="23">
          <cell r="AB23">
            <v>258.55661465112462</v>
          </cell>
        </row>
        <row r="26">
          <cell r="U26">
            <v>49.474967530433368</v>
          </cell>
          <cell r="V26">
            <v>29559.987138937176</v>
          </cell>
          <cell r="AA26">
            <v>125.78873341744163</v>
          </cell>
          <cell r="AB26">
            <v>258.55661465112462</v>
          </cell>
        </row>
      </sheetData>
      <sheetData sheetId="4">
        <row r="20">
          <cell r="U20">
            <v>30.796602380706688</v>
          </cell>
          <cell r="V20">
            <v>18229.96554324375</v>
          </cell>
          <cell r="AA20">
            <v>117.85014312338637</v>
          </cell>
          <cell r="AB20">
            <v>206.94274662142107</v>
          </cell>
        </row>
      </sheetData>
      <sheetData sheetId="5">
        <row r="24">
          <cell r="U24">
            <v>2.2431849794230265</v>
          </cell>
          <cell r="V24">
            <v>1401.2998051988852</v>
          </cell>
          <cell r="AA24">
            <v>37.414857638090183</v>
          </cell>
          <cell r="AB24">
            <v>46.164938258117161</v>
          </cell>
        </row>
        <row r="42">
          <cell r="U42">
            <v>4.4863699588460531</v>
          </cell>
          <cell r="V42">
            <v>2802.5996103977704</v>
          </cell>
          <cell r="AA42">
            <v>74.829715276180366</v>
          </cell>
          <cell r="AB42">
            <v>91.282818075036317</v>
          </cell>
        </row>
      </sheetData>
      <sheetData sheetId="6">
        <row r="17">
          <cell r="U17">
            <v>2.2275515378982016</v>
          </cell>
          <cell r="V17">
            <v>1366.1165245805489</v>
          </cell>
          <cell r="AA17">
            <v>45.494842512152061</v>
          </cell>
        </row>
        <row r="19">
          <cell r="AB19">
            <v>54.201347700099895</v>
          </cell>
        </row>
      </sheetData>
      <sheetData sheetId="7">
        <row r="48">
          <cell r="U48">
            <v>22.302931089679213</v>
          </cell>
          <cell r="V48">
            <v>13006.756226304431</v>
          </cell>
          <cell r="AA48">
            <v>5.6055702091158253</v>
          </cell>
          <cell r="AB48">
            <v>73.4183907203861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4.502003400370878</v>
          </cell>
          <cell r="V25">
            <v>2837.782891016107</v>
          </cell>
          <cell r="AA25">
            <v>66.749730402118487</v>
          </cell>
          <cell r="AB25">
            <v>83.239696990693034</v>
          </cell>
        </row>
      </sheetData>
      <sheetData sheetId="10">
        <row r="17">
          <cell r="P17">
            <v>18.856157357750352</v>
          </cell>
          <cell r="Q17">
            <v>7910.2067195911259</v>
          </cell>
        </row>
        <row r="37">
          <cell r="AB37">
            <v>61.377606125110233</v>
          </cell>
        </row>
      </sheetData>
      <sheetData sheetId="11">
        <row r="22">
          <cell r="U22">
            <v>18.67836514972668</v>
          </cell>
          <cell r="V22">
            <v>11330.021595693426</v>
          </cell>
          <cell r="AA22">
            <v>7.9385902940552651</v>
          </cell>
          <cell r="AB22">
            <v>65.853139766764897</v>
          </cell>
        </row>
      </sheetData>
      <sheetData sheetId="12">
        <row r="30">
          <cell r="U30">
            <v>16.4521766251648</v>
          </cell>
          <cell r="V30">
            <v>10232.30324040133</v>
          </cell>
          <cell r="AA30">
            <v>7.9385902940552651</v>
          </cell>
          <cell r="AB30">
            <v>59.676890938509487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4.1289960133850165</v>
          </cell>
        </row>
      </sheetData>
      <sheetData sheetId="15">
        <row r="21">
          <cell r="U21">
            <v>39.891604066924934</v>
          </cell>
          <cell r="V21">
            <v>17560.477974906262</v>
          </cell>
          <cell r="AA21">
            <v>287.34705221944671</v>
          </cell>
          <cell r="AB21">
            <v>403.40340401414613</v>
          </cell>
        </row>
      </sheetData>
      <sheetData sheetId="16">
        <row r="18">
          <cell r="AB18">
            <v>58.202913688849357</v>
          </cell>
        </row>
        <row r="28">
          <cell r="U28">
            <v>0.95903201569189689</v>
          </cell>
          <cell r="V28">
            <v>467.43501392932689</v>
          </cell>
          <cell r="Y28">
            <v>5.3132368759909676</v>
          </cell>
          <cell r="AA28">
            <v>98.849704825921606</v>
          </cell>
          <cell r="AB28">
            <v>104.35474810505096</v>
          </cell>
        </row>
        <row r="35">
          <cell r="U35">
            <v>7.5725958144064656</v>
          </cell>
          <cell r="V35">
            <v>3826.9356946859084</v>
          </cell>
          <cell r="AA35">
            <v>185.06039879412751</v>
          </cell>
          <cell r="AB35">
            <v>211.94667314021248</v>
          </cell>
        </row>
        <row r="40">
          <cell r="U40">
            <v>25.372561478251232</v>
          </cell>
          <cell r="V40">
            <v>11112.890492448836</v>
          </cell>
          <cell r="AA40">
            <v>189.36440603200111</v>
          </cell>
          <cell r="AB40">
            <v>268.24824340936868</v>
          </cell>
        </row>
        <row r="50">
          <cell r="U50">
            <v>38.076017912569725</v>
          </cell>
          <cell r="V50">
            <v>16906.068955405204</v>
          </cell>
          <cell r="AA50">
            <v>287.34705221944671</v>
          </cell>
          <cell r="AB50">
            <v>398.75376050318715</v>
          </cell>
        </row>
      </sheetData>
      <sheetData sheetId="17">
        <row r="18">
          <cell r="U18">
            <v>3.0664829360230565</v>
          </cell>
          <cell r="V18">
            <v>995.18422320437332</v>
          </cell>
          <cell r="Y18">
            <v>11.665632926045484</v>
          </cell>
          <cell r="AB18">
            <v>12.278929513250096</v>
          </cell>
        </row>
        <row r="32">
          <cell r="AB32">
            <v>12.278929513250096</v>
          </cell>
        </row>
        <row r="47">
          <cell r="U47">
            <v>10.24502799665899</v>
          </cell>
          <cell r="V47">
            <v>4110.4124128107906</v>
          </cell>
          <cell r="AA47">
            <v>15.015057043926067</v>
          </cell>
          <cell r="AB47">
            <v>51.105425731961731</v>
          </cell>
        </row>
        <row r="57">
          <cell r="U57">
            <v>3.7088922790828276</v>
          </cell>
          <cell r="V57">
            <v>1046.4512892482351</v>
          </cell>
          <cell r="AA57">
            <v>46.756511658145953</v>
          </cell>
          <cell r="AB57">
            <v>61.544607148847163</v>
          </cell>
        </row>
      </sheetData>
      <sheetData sheetId="18">
        <row r="18">
          <cell r="U18">
            <v>1.2683646539539413</v>
          </cell>
          <cell r="V18">
            <v>624.25192182819785</v>
          </cell>
          <cell r="Y18">
            <v>6.0004321368288469</v>
          </cell>
          <cell r="AA18">
            <v>5.9767466420519675</v>
          </cell>
          <cell r="AB18">
            <v>12.230851709671603</v>
          </cell>
        </row>
        <row r="23">
          <cell r="U23">
            <v>10.969008578396696</v>
          </cell>
          <cell r="V23">
            <v>6788.3626861607409</v>
          </cell>
          <cell r="AA23">
            <v>5.9767466420519675</v>
          </cell>
          <cell r="AB23">
            <v>42.387958089860177</v>
          </cell>
        </row>
      </sheetData>
      <sheetData sheetId="19">
        <row r="29">
          <cell r="U29">
            <v>9.7006439244427547</v>
          </cell>
          <cell r="V29">
            <v>6164.1107643325431</v>
          </cell>
          <cell r="AB29">
            <v>32.590022379121194</v>
          </cell>
        </row>
      </sheetData>
      <sheetData sheetId="20">
        <row r="22">
          <cell r="U22">
            <v>17.799965663844766</v>
          </cell>
          <cell r="V22">
            <v>7285.9547977629281</v>
          </cell>
          <cell r="AA22">
            <v>4.3040072378736172</v>
          </cell>
          <cell r="AB22">
            <v>62.862083750790688</v>
          </cell>
        </row>
      </sheetData>
      <sheetData sheetId="21">
        <row r="17">
          <cell r="AA17">
            <v>4.3040072378736172</v>
          </cell>
        </row>
        <row r="19">
          <cell r="AB19">
            <v>4.3040072378736172</v>
          </cell>
        </row>
        <row r="30">
          <cell r="U30">
            <v>10.434084423238859</v>
          </cell>
          <cell r="V30">
            <v>3486.1604909825928</v>
          </cell>
          <cell r="AB30">
            <v>41.722477699258725</v>
          </cell>
        </row>
      </sheetData>
      <sheetData sheetId="22">
        <row r="23">
          <cell r="U23">
            <v>4.3566665261135293</v>
          </cell>
          <cell r="V23">
            <v>2302.4944073228457</v>
          </cell>
          <cell r="AA23">
            <v>86.210693968205902</v>
          </cell>
          <cell r="AB23">
            <v>102.49342280079945</v>
          </cell>
        </row>
        <row r="36">
          <cell r="U36">
            <v>5.7011923208792679</v>
          </cell>
          <cell r="V36">
            <v>2876.987117990825</v>
          </cell>
          <cell r="AB36">
            <v>107.06447259765849</v>
          </cell>
        </row>
      </sheetData>
      <sheetData sheetId="23">
        <row r="18">
          <cell r="AB18">
            <v>85.828882860085685</v>
          </cell>
        </row>
        <row r="27">
          <cell r="U27">
            <v>3.9084912611916161</v>
          </cell>
          <cell r="V27">
            <v>2110.996837100186</v>
          </cell>
          <cell r="AA27">
            <v>71.103921606437765</v>
          </cell>
          <cell r="AB27">
            <v>85.828882860085685</v>
          </cell>
        </row>
        <row r="33">
          <cell r="AB33">
            <v>15.10677236176813</v>
          </cell>
        </row>
      </sheetData>
      <sheetData sheetId="24">
        <row r="25">
          <cell r="U25">
            <v>2.695542094959293</v>
          </cell>
          <cell r="V25">
            <v>1239.4567143545378</v>
          </cell>
          <cell r="AA25">
            <v>49.268461749269036</v>
          </cell>
          <cell r="AB25">
            <v>59.88338011765272</v>
          </cell>
        </row>
        <row r="29">
          <cell r="U29">
            <v>3.9993715787044586</v>
          </cell>
          <cell r="V29">
            <v>1691.8131794474348</v>
          </cell>
          <cell r="AA29">
            <v>58.602648320114483</v>
          </cell>
          <cell r="AB29">
            <v>73.964882458830047</v>
          </cell>
        </row>
        <row r="33">
          <cell r="U33">
            <v>6.1734846459019188</v>
          </cell>
          <cell r="V33">
            <v>2834.7671812488211</v>
          </cell>
          <cell r="AA33">
            <v>58.602648320114483</v>
          </cell>
          <cell r="AB33">
            <v>81.21732207011857</v>
          </cell>
        </row>
      </sheetData>
      <sheetData sheetId="25">
        <row r="29">
          <cell r="U29">
            <v>1.3038294837451656</v>
          </cell>
          <cell r="V29">
            <v>452.35646509289705</v>
          </cell>
          <cell r="Y29">
            <v>6.4786585672037837</v>
          </cell>
          <cell r="AA29">
            <v>9.3341865708454428</v>
          </cell>
          <cell r="AB29">
            <v>16.073611034798262</v>
          </cell>
        </row>
      </sheetData>
      <sheetData sheetId="26">
        <row r="17">
          <cell r="AA17">
            <v>20.741152492319742</v>
          </cell>
        </row>
        <row r="33">
          <cell r="U33">
            <v>1.7970474458260079</v>
          </cell>
          <cell r="V33">
            <v>931.85431809136776</v>
          </cell>
          <cell r="Y33">
            <v>7.0458760593547112</v>
          </cell>
          <cell r="AB33">
            <v>28.146438040839655</v>
          </cell>
        </row>
      </sheetData>
      <sheetData sheetId="27">
        <row r="18">
          <cell r="AB18">
            <v>11.772049400292593</v>
          </cell>
        </row>
        <row r="31">
          <cell r="U31">
            <v>2.7735214264755341</v>
          </cell>
          <cell r="V31">
            <v>2029.5726733834645</v>
          </cell>
          <cell r="AA31">
            <v>11.772049400292593</v>
          </cell>
          <cell r="AB31">
            <v>22.258237010767587</v>
          </cell>
        </row>
      </sheetData>
      <sheetData sheetId="28">
        <row r="47">
          <cell r="U47">
            <v>8.0494924474152736</v>
          </cell>
          <cell r="V47">
            <v>4496.4232630233973</v>
          </cell>
          <cell r="AA47">
            <v>2.8291470097583544</v>
          </cell>
          <cell r="AB47">
            <v>30.900974077384923</v>
          </cell>
        </row>
      </sheetData>
      <sheetData sheetId="29">
        <row r="38">
          <cell r="U38">
            <v>11.378297734909536</v>
          </cell>
          <cell r="V38">
            <v>5298.6020611214672</v>
          </cell>
          <cell r="AA38">
            <v>74.907952508176479</v>
          </cell>
          <cell r="AB38">
            <v>113.83951582660222</v>
          </cell>
        </row>
      </sheetData>
      <sheetData sheetId="30">
        <row r="32">
          <cell r="U32">
            <v>3.0849295296066126</v>
          </cell>
          <cell r="V32">
            <v>1136.9225822668145</v>
          </cell>
          <cell r="AA32">
            <v>73.047897623512199</v>
          </cell>
          <cell r="AB32">
            <v>85.274635051204683</v>
          </cell>
        </row>
      </sheetData>
      <sheetData sheetId="31">
        <row r="17">
          <cell r="P17">
            <v>9.2877858895046336E-2</v>
          </cell>
          <cell r="Q17">
            <v>59.7110533922624</v>
          </cell>
          <cell r="Y17">
            <v>2.7002061129726012</v>
          </cell>
          <cell r="AA17">
            <v>21.78312601514617</v>
          </cell>
        </row>
        <row r="23">
          <cell r="AB23">
            <v>24.501907699897782</v>
          </cell>
        </row>
        <row r="35">
          <cell r="U35">
            <v>4.9494704596833561</v>
          </cell>
          <cell r="V35">
            <v>2765.4058566012436</v>
          </cell>
          <cell r="AB35">
            <v>39.958617467321261</v>
          </cell>
        </row>
      </sheetData>
      <sheetData sheetId="32">
        <row r="29">
          <cell r="AB29">
            <v>18.525300500409138</v>
          </cell>
        </row>
        <row r="36">
          <cell r="AB36">
            <v>25.063557275634345</v>
          </cell>
        </row>
      </sheetData>
      <sheetData sheetId="33">
        <row r="18">
          <cell r="AB18">
            <v>8.2659394245779652</v>
          </cell>
        </row>
        <row r="30">
          <cell r="U30">
            <v>8.3504501099630772</v>
          </cell>
          <cell r="V30">
            <v>5554.9373913407744</v>
          </cell>
          <cell r="AA30">
            <v>30.386565965050991</v>
          </cell>
          <cell r="AB30">
            <v>58.797588635568488</v>
          </cell>
        </row>
      </sheetData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60.981447050221469</v>
          </cell>
          <cell r="V19">
            <v>36095.451589813601</v>
          </cell>
          <cell r="AB19">
            <v>300.10423417039965</v>
          </cell>
        </row>
        <row r="25">
          <cell r="U25">
            <v>67.191088843768981</v>
          </cell>
          <cell r="V25">
            <v>40116.418838804508</v>
          </cell>
          <cell r="AB25">
            <v>313.2789855129771</v>
          </cell>
        </row>
        <row r="41">
          <cell r="U41">
            <v>83.726332390691411</v>
          </cell>
          <cell r="V41">
            <v>49318.889314873377</v>
          </cell>
          <cell r="AA41">
            <v>141.62028203692103</v>
          </cell>
          <cell r="AB41">
            <v>348.43282345235411</v>
          </cell>
        </row>
      </sheetData>
      <sheetData sheetId="3">
        <row r="23">
          <cell r="AB23">
            <v>266.18188536451669</v>
          </cell>
        </row>
        <row r="26">
          <cell r="U26">
            <v>51.036044978016683</v>
          </cell>
          <cell r="V26">
            <v>29799.344435555708</v>
          </cell>
          <cell r="AA26">
            <v>129.4006382585759</v>
          </cell>
          <cell r="AB26">
            <v>266.18188536451669</v>
          </cell>
        </row>
      </sheetData>
      <sheetData sheetId="4">
        <row r="20">
          <cell r="U20">
            <v>31.768323714513301</v>
          </cell>
          <cell r="V20">
            <v>18377.579791158361</v>
          </cell>
          <cell r="AA20">
            <v>121.41423606495754</v>
          </cell>
          <cell r="AB20">
            <v>213.20600516496413</v>
          </cell>
        </row>
      </sheetData>
      <sheetData sheetId="5">
        <row r="24">
          <cell r="U24">
            <v>2.313963913840333</v>
          </cell>
          <cell r="V24">
            <v>1412.6466076026884</v>
          </cell>
          <cell r="AA24">
            <v>38.554993407628601</v>
          </cell>
          <cell r="AB24">
            <v>47.575403263597522</v>
          </cell>
        </row>
        <row r="42">
          <cell r="U42">
            <v>4.6279278276806659</v>
          </cell>
          <cell r="V42">
            <v>2825.2932152053768</v>
          </cell>
          <cell r="AA42">
            <v>77.109986815257201</v>
          </cell>
          <cell r="AB42">
            <v>94.06863602094117</v>
          </cell>
        </row>
      </sheetData>
      <sheetData sheetId="6">
        <row r="17">
          <cell r="U17">
            <v>2.2978371922951122</v>
          </cell>
          <cell r="V17">
            <v>1377.1784359627356</v>
          </cell>
          <cell r="AA17">
            <v>46.878853473760984</v>
          </cell>
        </row>
        <row r="19">
          <cell r="AB19">
            <v>55.854392606896567</v>
          </cell>
        </row>
      </sheetData>
      <sheetData sheetId="7">
        <row r="48">
          <cell r="U48">
            <v>23.006652678130713</v>
          </cell>
          <cell r="V48">
            <v>13112.076367124237</v>
          </cell>
          <cell r="AA48">
            <v>5.7492558420717268</v>
          </cell>
          <cell r="AB48">
            <v>75.620799842804644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4.6440545492258876</v>
          </cell>
          <cell r="V25">
            <v>2860.7613868453295</v>
          </cell>
          <cell r="AA25">
            <v>68.786126749124819</v>
          </cell>
          <cell r="AB25">
            <v>85.782720775953948</v>
          </cell>
        </row>
      </sheetData>
      <sheetData sheetId="10">
        <row r="17">
          <cell r="P17">
            <v>19.451123326776191</v>
          </cell>
          <cell r="Q17">
            <v>7974.258360993942</v>
          </cell>
        </row>
        <row r="37">
          <cell r="AB37">
            <v>63.247678182109198</v>
          </cell>
        </row>
      </sheetData>
      <sheetData sheetId="11">
        <row r="22">
          <cell r="U22">
            <v>19.267721263503383</v>
          </cell>
          <cell r="V22">
            <v>11421.764644397346</v>
          </cell>
          <cell r="AA22">
            <v>7.9864021936183711</v>
          </cell>
          <cell r="AB22">
            <v>67.660831476416547</v>
          </cell>
        </row>
      </sheetData>
      <sheetData sheetId="12">
        <row r="30">
          <cell r="U30">
            <v>16.971290091533504</v>
          </cell>
          <cell r="V30">
            <v>10315.157689230822</v>
          </cell>
          <cell r="AA30">
            <v>7.9864021936183711</v>
          </cell>
          <cell r="AB30">
            <v>61.298043334821386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4.1768079129481235</v>
          </cell>
        </row>
      </sheetData>
      <sheetData sheetId="15">
        <row r="21">
          <cell r="U21">
            <v>40.889947090180542</v>
          </cell>
          <cell r="V21">
            <v>17671.951761792981</v>
          </cell>
          <cell r="AA21">
            <v>295.43916476134945</v>
          </cell>
          <cell r="AB21">
            <v>414.28685156803033</v>
          </cell>
        </row>
      </sheetData>
      <sheetData sheetId="16">
        <row r="18">
          <cell r="AB18">
            <v>59.980201897353581</v>
          </cell>
        </row>
        <row r="28">
          <cell r="U28">
            <v>0.9892922326447644</v>
          </cell>
          <cell r="V28">
            <v>471.21999464508616</v>
          </cell>
          <cell r="Y28">
            <v>5.405706710385469</v>
          </cell>
          <cell r="AA28">
            <v>101.86556824860602</v>
          </cell>
          <cell r="AB28">
            <v>107.46913340552045</v>
          </cell>
        </row>
        <row r="35">
          <cell r="U35">
            <v>7.7827450378753094</v>
          </cell>
          <cell r="V35">
            <v>3854.0166212264062</v>
          </cell>
          <cell r="AA35">
            <v>190.06854329890996</v>
          </cell>
          <cell r="AB35">
            <v>217.67975023665335</v>
          </cell>
        </row>
        <row r="40">
          <cell r="U40">
            <v>26.144350786647724</v>
          </cell>
          <cell r="V40">
            <v>11198.968279694331</v>
          </cell>
          <cell r="AA40">
            <v>194.40854900094777</v>
          </cell>
          <cell r="AB40">
            <v>275.60435355997561</v>
          </cell>
        </row>
        <row r="50">
          <cell r="U50">
            <v>39.017073973525356</v>
          </cell>
          <cell r="V50">
            <v>17012.24376928986</v>
          </cell>
          <cell r="AA50">
            <v>295.43916476134945</v>
          </cell>
          <cell r="AB50">
            <v>409.49246486583093</v>
          </cell>
        </row>
      </sheetData>
      <sheetData sheetId="17">
        <row r="18">
          <cell r="U18">
            <v>3.1632392876443087</v>
          </cell>
          <cell r="V18">
            <v>1003.2425692443769</v>
          </cell>
          <cell r="AB18">
            <v>12.650088438115237</v>
          </cell>
        </row>
        <row r="32">
          <cell r="AB32">
            <v>12.650088438115237</v>
          </cell>
        </row>
        <row r="47">
          <cell r="U47">
            <v>10.568288080571246</v>
          </cell>
          <cell r="V47">
            <v>4143.6958238790476</v>
          </cell>
          <cell r="AA47">
            <v>15.348938049298539</v>
          </cell>
          <cell r="AB47">
            <v>52.544745124989049</v>
          </cell>
        </row>
        <row r="57">
          <cell r="U57">
            <v>3.8259184921638281</v>
          </cell>
          <cell r="V57">
            <v>1054.9247622054509</v>
          </cell>
          <cell r="AA57">
            <v>48.186513093054913</v>
          </cell>
          <cell r="AB57">
            <v>63.432447877412557</v>
          </cell>
        </row>
      </sheetData>
      <sheetData sheetId="18">
        <row r="18">
          <cell r="U18">
            <v>1.3083852048594338</v>
          </cell>
          <cell r="V18">
            <v>629.30670252601828</v>
          </cell>
          <cell r="Y18">
            <v>6.1292283222308548</v>
          </cell>
          <cell r="AA18">
            <v>6.1618322782494657</v>
          </cell>
          <cell r="AB18">
            <v>12.552737641452207</v>
          </cell>
        </row>
        <row r="23">
          <cell r="U23">
            <v>11.31511233083574</v>
          </cell>
          <cell r="V23">
            <v>6843.3303738457353</v>
          </cell>
          <cell r="AA23">
            <v>6.1618322782494657</v>
          </cell>
          <cell r="AB23">
            <v>43.683762049792293</v>
          </cell>
        </row>
      </sheetData>
      <sheetData sheetId="19">
        <row r="29">
          <cell r="U29">
            <v>10.006727125976306</v>
          </cell>
          <cell r="V29">
            <v>6214.0236713197173</v>
          </cell>
          <cell r="AB29">
            <v>33.584942572317516</v>
          </cell>
        </row>
      </sheetData>
      <sheetData sheetId="20">
        <row r="22">
          <cell r="U22">
            <v>18.361605748772416</v>
          </cell>
          <cell r="V22">
            <v>7344.9516584679241</v>
          </cell>
          <cell r="AA22">
            <v>4.3400057020378275</v>
          </cell>
          <cell r="AB22">
            <v>64.683390274814514</v>
          </cell>
        </row>
      </sheetData>
      <sheetData sheetId="21">
        <row r="17">
          <cell r="AA17">
            <v>4.3400057020378275</v>
          </cell>
        </row>
        <row r="19">
          <cell r="AB19">
            <v>4.3400057020378275</v>
          </cell>
        </row>
        <row r="30">
          <cell r="U30">
            <v>10.763309780876114</v>
          </cell>
          <cell r="V30">
            <v>3514.3891213530296</v>
          </cell>
          <cell r="AB30">
            <v>42.906154655034129</v>
          </cell>
        </row>
      </sheetData>
      <sheetData sheetId="22">
        <row r="23">
          <cell r="U23">
            <v>4.49413187879665</v>
          </cell>
          <cell r="V23">
            <v>2321.1384897517637</v>
          </cell>
          <cell r="AA23">
            <v>88.202975050303948</v>
          </cell>
          <cell r="AB23">
            <v>104.98681298407976</v>
          </cell>
        </row>
        <row r="36">
          <cell r="U36">
            <v>5.8810813273952443</v>
          </cell>
          <cell r="V36">
            <v>2900.2830638155638</v>
          </cell>
          <cell r="AB36">
            <v>109.69738024429486</v>
          </cell>
        </row>
      </sheetData>
      <sheetData sheetId="23">
        <row r="18">
          <cell r="AB18">
            <v>87.807126463982669</v>
          </cell>
        </row>
        <row r="27">
          <cell r="U27">
            <v>4.0318153959304519</v>
          </cell>
          <cell r="V27">
            <v>2128.0902983971637</v>
          </cell>
          <cell r="AA27">
            <v>72.628682572730654</v>
          </cell>
          <cell r="AB27">
            <v>87.807126463982669</v>
          </cell>
        </row>
        <row r="33">
          <cell r="AB33">
            <v>15.5742924775733</v>
          </cell>
        </row>
      </sheetData>
      <sheetData sheetId="24">
        <row r="25">
          <cell r="U25">
            <v>2.7522441077133295</v>
          </cell>
          <cell r="V25">
            <v>1247.0022565556319</v>
          </cell>
          <cell r="AA25">
            <v>50.248657573197917</v>
          </cell>
          <cell r="AB25">
            <v>61.081882601752014</v>
          </cell>
        </row>
        <row r="29">
          <cell r="U29">
            <v>4.0972131596920018</v>
          </cell>
          <cell r="V29">
            <v>1703.0216062121669</v>
          </cell>
          <cell r="AA29">
            <v>59.781228336831752</v>
          </cell>
          <cell r="AB29">
            <v>75.510513401860251</v>
          </cell>
        </row>
        <row r="33">
          <cell r="U33">
            <v>6.3399257439201797</v>
          </cell>
          <cell r="V33">
            <v>2855.2304963443453</v>
          </cell>
          <cell r="AA33">
            <v>59.781228336831752</v>
          </cell>
          <cell r="AB33">
            <v>82.98895887237569</v>
          </cell>
        </row>
      </sheetData>
      <sheetData sheetId="25">
        <row r="29">
          <cell r="U29">
            <v>1.3449690519786719</v>
          </cell>
          <cell r="V29">
            <v>456.01934965653504</v>
          </cell>
          <cell r="Y29">
            <v>6.609391947956528</v>
          </cell>
          <cell r="AA29">
            <v>9.532570763633835</v>
          </cell>
          <cell r="AB29">
            <v>16.410956521986098</v>
          </cell>
        </row>
      </sheetData>
      <sheetData sheetId="26">
        <row r="17">
          <cell r="AA17">
            <v>21.376134890336267</v>
          </cell>
        </row>
        <row r="33">
          <cell r="U33">
            <v>1.8537494585800445</v>
          </cell>
          <cell r="V33">
            <v>939.39986029246199</v>
          </cell>
          <cell r="Y33">
            <v>7.236157351889422</v>
          </cell>
          <cell r="AB33">
            <v>28.983042133941698</v>
          </cell>
        </row>
      </sheetData>
      <sheetData sheetId="27">
        <row r="18">
          <cell r="AB18">
            <v>12.134300325326338</v>
          </cell>
        </row>
        <row r="31">
          <cell r="U31">
            <v>2.861034000315966</v>
          </cell>
          <cell r="V31">
            <v>2046.0068154589869</v>
          </cell>
          <cell r="AA31">
            <v>12.134300325326338</v>
          </cell>
          <cell r="AB31">
            <v>22.943530424863006</v>
          </cell>
        </row>
      </sheetData>
      <sheetData sheetId="28">
        <row r="47">
          <cell r="U47">
            <v>8.1468035664865486</v>
          </cell>
          <cell r="V47">
            <v>4508.9259090006144</v>
          </cell>
          <cell r="AA47">
            <v>2.8438301915778488</v>
          </cell>
          <cell r="AB47">
            <v>31.246054925327016</v>
          </cell>
        </row>
      </sheetData>
      <sheetData sheetId="29">
        <row r="38">
          <cell r="U38">
            <v>11.505751921167468</v>
          </cell>
          <cell r="V38">
            <v>5314.6943339710506</v>
          </cell>
          <cell r="AA38">
            <v>77.180145513910205</v>
          </cell>
          <cell r="AB38">
            <v>116.53364209489192</v>
          </cell>
        </row>
      </sheetData>
      <sheetData sheetId="30">
        <row r="32">
          <cell r="U32">
            <v>3.1822679242824727</v>
          </cell>
          <cell r="V32">
            <v>1146.1286321367579</v>
          </cell>
          <cell r="AA32">
            <v>75.276094186495484</v>
          </cell>
          <cell r="AB32">
            <v>87.881148599019696</v>
          </cell>
        </row>
      </sheetData>
      <sheetData sheetId="31">
        <row r="17">
          <cell r="P17">
            <v>9.5808422332236978E-2</v>
          </cell>
          <cell r="Q17">
            <v>60.194554154662619</v>
          </cell>
          <cell r="Y17">
            <v>2.7138983123131326</v>
          </cell>
          <cell r="AA17">
            <v>22.450903657325274</v>
          </cell>
        </row>
        <row r="23">
          <cell r="AB23">
            <v>25.183963654104854</v>
          </cell>
        </row>
        <row r="35">
          <cell r="U35">
            <v>5.1056404805598463</v>
          </cell>
          <cell r="V35">
            <v>2787.7982909002835</v>
          </cell>
          <cell r="AB35">
            <v>41.184925440205646</v>
          </cell>
        </row>
      </sheetData>
      <sheetData sheetId="32">
        <row r="29">
          <cell r="AB29">
            <v>19.022295368230498</v>
          </cell>
        </row>
        <row r="36">
          <cell r="AB36">
            <v>25.750464203441357</v>
          </cell>
        </row>
      </sheetData>
      <sheetData sheetId="33">
        <row r="18">
          <cell r="AB18">
            <v>8.5217169003554094</v>
          </cell>
        </row>
        <row r="30">
          <cell r="U30">
            <v>8.6139308153483665</v>
          </cell>
          <cell r="V30">
            <v>5599.9176137822496</v>
          </cell>
          <cell r="AA30">
            <v>31.321359756578456</v>
          </cell>
          <cell r="AB30">
            <v>60.6004549453571</v>
          </cell>
        </row>
      </sheetData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62.391779607131689</v>
          </cell>
          <cell r="V19">
            <v>36386.712285840149</v>
          </cell>
          <cell r="AB19">
            <v>306.52071146994427</v>
          </cell>
        </row>
        <row r="25">
          <cell r="U25">
            <v>68.708178637065799</v>
          </cell>
          <cell r="V25">
            <v>40432.946823377111</v>
          </cell>
          <cell r="AB25">
            <v>319.8923632308929</v>
          </cell>
        </row>
        <row r="41">
          <cell r="U41">
            <v>85.625836728717843</v>
          </cell>
          <cell r="V41">
            <v>49709.673690153679</v>
          </cell>
          <cell r="AA41">
            <v>144.58192264241401</v>
          </cell>
          <cell r="AB41">
            <v>355.81315517411463</v>
          </cell>
        </row>
      </sheetData>
      <sheetData sheetId="3">
        <row r="23">
          <cell r="AB23">
            <v>271.85390597901772</v>
          </cell>
        </row>
        <row r="26">
          <cell r="U26">
            <v>52.216367835051443</v>
          </cell>
          <cell r="V26">
            <v>30039.800709661009</v>
          </cell>
          <cell r="AA26">
            <v>132.08846088675909</v>
          </cell>
          <cell r="AB26">
            <v>271.85390597901772</v>
          </cell>
        </row>
      </sheetData>
      <sheetData sheetId="4">
        <row r="20">
          <cell r="U20">
            <v>32.503037359077084</v>
          </cell>
          <cell r="V20">
            <v>18525.871790440808</v>
          </cell>
          <cell r="AA20">
            <v>124.06805345738636</v>
          </cell>
          <cell r="AB20">
            <v>217.86857400198733</v>
          </cell>
        </row>
      </sheetData>
      <sheetData sheetId="5">
        <row r="24">
          <cell r="U24">
            <v>2.3674795124537407</v>
          </cell>
          <cell r="V24">
            <v>1424.0455073545345</v>
          </cell>
          <cell r="AA24">
            <v>39.405435181443465</v>
          </cell>
          <cell r="AB24">
            <v>48.628575615393231</v>
          </cell>
        </row>
        <row r="42">
          <cell r="U42">
            <v>4.7349590249074813</v>
          </cell>
          <cell r="V42">
            <v>2848.091014709069</v>
          </cell>
          <cell r="AA42">
            <v>78.810870362886931</v>
          </cell>
          <cell r="AB42">
            <v>96.147840975808165</v>
          </cell>
        </row>
      </sheetData>
      <sheetData sheetId="6">
        <row r="17">
          <cell r="U17">
            <v>2.3509798243501376</v>
          </cell>
          <cell r="V17">
            <v>1388.2911366533804</v>
          </cell>
          <cell r="AA17">
            <v>47.910515832269134</v>
          </cell>
        </row>
        <row r="19">
          <cell r="AB19">
            <v>57.087829079130415</v>
          </cell>
        </row>
      </sheetData>
      <sheetData sheetId="7">
        <row r="48">
          <cell r="U48">
            <v>23.538733054491274</v>
          </cell>
          <cell r="V48">
            <v>13217.880071492342</v>
          </cell>
          <cell r="AA48">
            <v>5.8517479130559558</v>
          </cell>
          <cell r="AB48">
            <v>77.256659839746476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4.7514587130110844</v>
          </cell>
          <cell r="V25">
            <v>2883.8453854102231</v>
          </cell>
          <cell r="AA25">
            <v>70.305789712061255</v>
          </cell>
          <cell r="AB25">
            <v>87.681498978305413</v>
          </cell>
        </row>
      </sheetData>
      <sheetData sheetId="10">
        <row r="17">
          <cell r="P17">
            <v>19.900974122767245</v>
          </cell>
          <cell r="Q17">
            <v>8038.6040870680299</v>
          </cell>
        </row>
        <row r="37">
          <cell r="AB37">
            <v>64.642503835226918</v>
          </cell>
        </row>
      </sheetData>
      <sheetData sheetId="11">
        <row r="22">
          <cell r="U22">
            <v>19.713330475974363</v>
          </cell>
          <cell r="V22">
            <v>11513.9289192202</v>
          </cell>
          <cell r="AA22">
            <v>8.020407429372737</v>
          </cell>
          <cell r="AB22">
            <v>69.006105868250984</v>
          </cell>
        </row>
      </sheetData>
      <sheetData sheetId="12">
        <row r="30">
          <cell r="U30">
            <v>17.363789189318862</v>
          </cell>
          <cell r="V30">
            <v>10398.392553344194</v>
          </cell>
          <cell r="AA30">
            <v>8.020407429372737</v>
          </cell>
          <cell r="AB30">
            <v>62.504663145518194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4.2108131487024894</v>
          </cell>
        </row>
      </sheetData>
      <sheetData sheetId="15">
        <row r="21">
          <cell r="U21">
            <v>41.64478926110165</v>
          </cell>
          <cell r="V21">
            <v>17783.93736588303</v>
          </cell>
          <cell r="AA21">
            <v>301.45961335823358</v>
          </cell>
          <cell r="AB21">
            <v>422.38625236333633</v>
          </cell>
        </row>
      </sheetData>
      <sheetData sheetId="16">
        <row r="18">
          <cell r="AB18">
            <v>61.306980222701867</v>
          </cell>
        </row>
        <row r="28">
          <cell r="U28">
            <v>1.0121718314651771</v>
          </cell>
          <cell r="V28">
            <v>475.02235360104635</v>
          </cell>
          <cell r="Y28">
            <v>5.4738590289510203</v>
          </cell>
          <cell r="AA28">
            <v>104.11619923695612</v>
          </cell>
          <cell r="AB28">
            <v>109.79249263220018</v>
          </cell>
        </row>
        <row r="35">
          <cell r="U35">
            <v>7.9416378155734115</v>
          </cell>
          <cell r="V35">
            <v>3881.2218862725972</v>
          </cell>
          <cell r="AA35">
            <v>193.80690228423418</v>
          </cell>
          <cell r="AB35">
            <v>221.9602190828881</v>
          </cell>
        </row>
        <row r="40">
          <cell r="U40">
            <v>26.727896825907774</v>
          </cell>
          <cell r="V40">
            <v>11285.441281757294</v>
          </cell>
          <cell r="AA40">
            <v>198.17550162951906</v>
          </cell>
          <cell r="AB40">
            <v>281.09436158102005</v>
          </cell>
        </row>
        <row r="50">
          <cell r="U50">
            <v>39.728601758528313</v>
          </cell>
          <cell r="V50">
            <v>17118.906070841564</v>
          </cell>
          <cell r="AA50">
            <v>301.45961335823358</v>
          </cell>
          <cell r="AB50">
            <v>417.48421824563729</v>
          </cell>
        </row>
      </sheetData>
      <sheetData sheetId="17">
        <row r="18">
          <cell r="U18">
            <v>3.2363962815901597</v>
          </cell>
          <cell r="V18">
            <v>1011.3379141183566</v>
          </cell>
          <cell r="AB18">
            <v>12.935351339763999</v>
          </cell>
        </row>
        <row r="32">
          <cell r="AB32">
            <v>12.935351339763999</v>
          </cell>
        </row>
        <row r="47">
          <cell r="U47">
            <v>10.812703414608187</v>
          </cell>
          <cell r="V47">
            <v>4177.1320513433939</v>
          </cell>
          <cell r="AA47">
            <v>15.604790568667887</v>
          </cell>
          <cell r="AB47">
            <v>53.626820529565094</v>
          </cell>
        </row>
        <row r="57">
          <cell r="U57">
            <v>3.9144014270659753</v>
          </cell>
          <cell r="V57">
            <v>1063.437139997181</v>
          </cell>
          <cell r="AA57">
            <v>49.254693188444286</v>
          </cell>
          <cell r="AB57">
            <v>64.844263730819918</v>
          </cell>
        </row>
      </sheetData>
      <sheetData sheetId="18">
        <row r="18">
          <cell r="U18">
            <v>1.3386445434066687</v>
          </cell>
          <cell r="V18">
            <v>634.38469158333282</v>
          </cell>
          <cell r="Y18">
            <v>6.2235652900750722</v>
          </cell>
          <cell r="AA18">
            <v>6.3007634682601914</v>
          </cell>
          <cell r="AB18">
            <v>12.792057667016596</v>
          </cell>
        </row>
        <row r="23">
          <cell r="U23">
            <v>11.576799648490432</v>
          </cell>
          <cell r="V23">
            <v>6898.5504384255182</v>
          </cell>
          <cell r="AA23">
            <v>6.3007634682601914</v>
          </cell>
          <cell r="AB23">
            <v>44.651531770220082</v>
          </cell>
        </row>
      </sheetData>
      <sheetData sheetId="19">
        <row r="29">
          <cell r="U29">
            <v>10.238155105083763</v>
          </cell>
          <cell r="V29">
            <v>6264.1657468421854</v>
          </cell>
          <cell r="AB29">
            <v>34.327595215082553</v>
          </cell>
        </row>
      </sheetData>
      <sheetData sheetId="20">
        <row r="22">
          <cell r="U22">
            <v>18.786259010334362</v>
          </cell>
          <cell r="V22">
            <v>7404.2193954846971</v>
          </cell>
          <cell r="AA22">
            <v>4.3685993452848875</v>
          </cell>
          <cell r="AB22">
            <v>66.043921681193851</v>
          </cell>
        </row>
      </sheetData>
      <sheetData sheetId="21">
        <row r="17">
          <cell r="AA17">
            <v>4.3685993452848875</v>
          </cell>
        </row>
        <row r="19">
          <cell r="AB19">
            <v>4.3685993452848875</v>
          </cell>
        </row>
        <row r="30">
          <cell r="U30">
            <v>11.012235428566607</v>
          </cell>
          <cell r="V30">
            <v>3542.747359760062</v>
          </cell>
          <cell r="AB30">
            <v>43.793000163428317</v>
          </cell>
        </row>
      </sheetData>
      <sheetData sheetId="22">
        <row r="23">
          <cell r="U23">
            <v>4.5980687450126174</v>
          </cell>
          <cell r="V23">
            <v>2339.8681740283801</v>
          </cell>
          <cell r="AA23">
            <v>89.690703047278063</v>
          </cell>
          <cell r="AB23">
            <v>106.84977583364609</v>
          </cell>
        </row>
        <row r="36">
          <cell r="U36">
            <v>6.017094506272934</v>
          </cell>
          <cell r="V36">
            <v>2923.6859699057945</v>
          </cell>
          <cell r="AB36">
            <v>111.66447550939441</v>
          </cell>
        </row>
      </sheetData>
      <sheetData sheetId="23">
        <row r="18">
          <cell r="AB18">
            <v>89.283670940649756</v>
          </cell>
        </row>
        <row r="27">
          <cell r="U27">
            <v>4.1250601579258452</v>
          </cell>
          <cell r="V27">
            <v>2145.2622420692419</v>
          </cell>
          <cell r="AA27">
            <v>73.765563048945822</v>
          </cell>
          <cell r="AB27">
            <v>89.283670940649756</v>
          </cell>
        </row>
        <row r="33">
          <cell r="AB33">
            <v>15.925139998332238</v>
          </cell>
        </row>
      </sheetData>
      <sheetData sheetId="24">
        <row r="25">
          <cell r="U25">
            <v>2.7951162162029335</v>
          </cell>
          <cell r="V25">
            <v>1254.5824431194494</v>
          </cell>
          <cell r="AA25">
            <v>50.981690810923666</v>
          </cell>
          <cell r="AB25">
            <v>61.9786045989134</v>
          </cell>
        </row>
        <row r="29">
          <cell r="U29">
            <v>4.17119069013855</v>
          </cell>
          <cell r="V29">
            <v>1714.2814949914298</v>
          </cell>
          <cell r="AA29">
            <v>60.675416320927823</v>
          </cell>
          <cell r="AB29">
            <v>76.679772811212558</v>
          </cell>
        </row>
        <row r="33">
          <cell r="U33">
            <v>6.4657710263852124</v>
          </cell>
          <cell r="V33">
            <v>2875.7877660546333</v>
          </cell>
          <cell r="AA33">
            <v>60.675416320927823</v>
          </cell>
          <cell r="AB33">
            <v>84.326851733340717</v>
          </cell>
        </row>
      </sheetData>
      <sheetData sheetId="25">
        <row r="29">
          <cell r="U29">
            <v>1.3760744739356163</v>
          </cell>
          <cell r="V29">
            <v>459.69905187198037</v>
          </cell>
          <cell r="Y29">
            <v>6.707405607576777</v>
          </cell>
          <cell r="AA29">
            <v>9.6937255100041533</v>
          </cell>
          <cell r="AB29">
            <v>16.676346012368054</v>
          </cell>
        </row>
      </sheetData>
      <sheetData sheetId="26">
        <row r="17">
          <cell r="AA17">
            <v>21.850639264615403</v>
          </cell>
        </row>
        <row r="33">
          <cell r="U33">
            <v>1.8966215670696482</v>
          </cell>
          <cell r="V33">
            <v>946.98004685627939</v>
          </cell>
          <cell r="Y33">
            <v>7.3744064464731531</v>
          </cell>
          <cell r="AB33">
            <v>29.604370024502487</v>
          </cell>
        </row>
      </sheetData>
      <sheetData sheetId="27">
        <row r="18">
          <cell r="AB18">
            <v>12.405545310589249</v>
          </cell>
        </row>
        <row r="31">
          <cell r="U31">
            <v>2.9272018200751408</v>
          </cell>
          <cell r="V31">
            <v>2062.5164127322851</v>
          </cell>
          <cell r="AA31">
            <v>12.405545310589249</v>
          </cell>
          <cell r="AB31">
            <v>23.456767703531497</v>
          </cell>
        </row>
      </sheetData>
      <sheetData sheetId="28">
        <row r="47">
          <cell r="U47">
            <v>8.2203800173290524</v>
          </cell>
          <cell r="V47">
            <v>4521.4859592293351</v>
          </cell>
          <cell r="AA47">
            <v>2.8582496241346793</v>
          </cell>
          <cell r="AB47">
            <v>31.507917548780103</v>
          </cell>
        </row>
      </sheetData>
      <sheetData sheetId="29">
        <row r="38">
          <cell r="U38">
            <v>11.60211939447758</v>
          </cell>
          <cell r="V38">
            <v>5330.8604923709063</v>
          </cell>
          <cell r="AA38">
            <v>78.871945423759826</v>
          </cell>
          <cell r="AB38">
            <v>118.54074500956919</v>
          </cell>
        </row>
      </sheetData>
      <sheetData sheetId="30">
        <row r="32">
          <cell r="U32">
            <v>3.2558649980733012</v>
          </cell>
          <cell r="V32">
            <v>1155.3769503715775</v>
          </cell>
          <cell r="AA32">
            <v>76.938781073175193</v>
          </cell>
          <cell r="AB32">
            <v>89.827719817222828</v>
          </cell>
        </row>
      </sheetData>
      <sheetData sheetId="31">
        <row r="17">
          <cell r="P17">
            <v>9.8024206702359867E-2</v>
          </cell>
          <cell r="Q17">
            <v>60.680274847101401</v>
          </cell>
          <cell r="Y17">
            <v>2.7275592233994499</v>
          </cell>
          <cell r="AA17">
            <v>22.950177833515347</v>
          </cell>
        </row>
        <row r="23">
          <cell r="AB23">
            <v>25.697341898255271</v>
          </cell>
        </row>
        <row r="35">
          <cell r="U35">
            <v>5.2237198529250541</v>
          </cell>
          <cell r="V35">
            <v>2810.293537110706</v>
          </cell>
          <cell r="AB35">
            <v>42.102188966319652</v>
          </cell>
        </row>
      </sheetData>
      <sheetData sheetId="32">
        <row r="29">
          <cell r="AB29">
            <v>19.394088348780258</v>
          </cell>
        </row>
        <row r="36">
          <cell r="AB36">
            <v>26.183507628576223</v>
          </cell>
        </row>
      </sheetData>
      <sheetData sheetId="33">
        <row r="18">
          <cell r="AB18">
            <v>8.7136533985896474</v>
          </cell>
        </row>
        <row r="30">
          <cell r="U30">
            <v>8.8131472600131389</v>
          </cell>
          <cell r="V30">
            <v>5645.1043569879175</v>
          </cell>
          <cell r="AA30">
            <v>32.02123697327621</v>
          </cell>
          <cell r="AB30">
            <v>61.948514290904498</v>
          </cell>
        </row>
      </sheetData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63.808446096866433</v>
          </cell>
          <cell r="V19">
            <v>36679.037920426214</v>
          </cell>
          <cell r="AB19">
            <v>312.95388471988656</v>
          </cell>
        </row>
        <row r="25">
          <cell r="U25">
            <v>70.232081819724186</v>
          </cell>
          <cell r="V25">
            <v>40750.632131476501</v>
          </cell>
          <cell r="AB25">
            <v>326.52304875215168</v>
          </cell>
        </row>
        <row r="41">
          <cell r="U41">
            <v>87.533871914889303</v>
          </cell>
          <cell r="V41">
            <v>50101.88689313153</v>
          </cell>
          <cell r="AA41">
            <v>147.55224296402622</v>
          </cell>
          <cell r="AB41">
            <v>363.2125399490011</v>
          </cell>
        </row>
      </sheetData>
      <sheetData sheetId="3">
        <row r="23">
          <cell r="AB23">
            <v>277.54069804699634</v>
          </cell>
        </row>
        <row r="26">
          <cell r="U26">
            <v>53.401991630259317</v>
          </cell>
          <cell r="V26">
            <v>30281.136165755725</v>
          </cell>
          <cell r="AA26">
            <v>134.78407146860593</v>
          </cell>
          <cell r="AB26">
            <v>277.54069804699634</v>
          </cell>
        </row>
      </sheetData>
      <sheetData sheetId="4">
        <row r="20">
          <cell r="U20">
            <v>33.241050669983466</v>
          </cell>
          <cell r="V20">
            <v>18674.705990817522</v>
          </cell>
          <cell r="AA20">
            <v>126.72936825570272</v>
          </cell>
          <cell r="AB20">
            <v>222.54351709299243</v>
          </cell>
        </row>
      </sheetData>
      <sheetData sheetId="5">
        <row r="24">
          <cell r="U24">
            <v>2.4212354545272921</v>
          </cell>
          <cell r="V24">
            <v>1435.4860849848153</v>
          </cell>
          <cell r="AA24">
            <v>40.258166117284588</v>
          </cell>
          <cell r="AB24">
            <v>49.684719971826553</v>
          </cell>
        </row>
        <row r="42">
          <cell r="U42">
            <v>4.8424709090545841</v>
          </cell>
          <cell r="V42">
            <v>2870.9721699696306</v>
          </cell>
          <cell r="AA42">
            <v>80.516332234569177</v>
          </cell>
          <cell r="AB42">
            <v>98.232793979180542</v>
          </cell>
        </row>
      </sheetData>
      <sheetData sheetId="6">
        <row r="17">
          <cell r="U17">
            <v>2.4043611248382972</v>
          </cell>
          <cell r="V17">
            <v>1399.4444687907919</v>
          </cell>
          <cell r="AA17">
            <v>48.944870846252229</v>
          </cell>
        </row>
        <row r="19">
          <cell r="AB19">
            <v>58.32463979018285</v>
          </cell>
        </row>
      </sheetData>
      <sheetData sheetId="7">
        <row r="48">
          <cell r="U48">
            <v>24.073203052607781</v>
          </cell>
          <cell r="V48">
            <v>13324.070626699086</v>
          </cell>
          <cell r="AA48">
            <v>5.954869903848965</v>
          </cell>
          <cell r="AB48">
            <v>78.897009585640546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4.8593452387435798</v>
          </cell>
          <cell r="V25">
            <v>2907.013786163654</v>
          </cell>
          <cell r="AA25">
            <v>71.829627505601536</v>
          </cell>
          <cell r="AB25">
            <v>89.585622257872629</v>
          </cell>
        </row>
      </sheetData>
      <sheetData sheetId="10">
        <row r="17">
          <cell r="P17">
            <v>20.352845239929287</v>
          </cell>
          <cell r="Q17">
            <v>8103.1850808791341</v>
          </cell>
        </row>
        <row r="37">
          <cell r="AB37">
            <v>66.041070075986539</v>
          </cell>
        </row>
      </sheetData>
      <sheetData sheetId="11">
        <row r="22">
          <cell r="U22">
            <v>20.160940960275848</v>
          </cell>
          <cell r="V22">
            <v>11606.430174938203</v>
          </cell>
          <cell r="AA22">
            <v>8.054703212903199</v>
          </cell>
          <cell r="AB22">
            <v>70.355026895271777</v>
          </cell>
        </row>
      </sheetData>
      <sheetData sheetId="12">
        <row r="30">
          <cell r="U30">
            <v>17.758051036540074</v>
          </cell>
          <cell r="V30">
            <v>10481.931749684674</v>
          </cell>
          <cell r="AA30">
            <v>8.054703212903199</v>
          </cell>
          <cell r="AB30">
            <v>63.714613401874175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4.2451089322329514</v>
          </cell>
        </row>
      </sheetData>
      <sheetData sheetId="15">
        <row r="21">
          <cell r="U21">
            <v>42.403021497422799</v>
          </cell>
          <cell r="V21">
            <v>17896.332423735756</v>
          </cell>
          <cell r="AA21">
            <v>307.49529482383218</v>
          </cell>
          <cell r="AB21">
            <v>430.50687181605849</v>
          </cell>
        </row>
      </sheetData>
      <sheetData sheetId="16">
        <row r="18">
          <cell r="AB18">
            <v>62.637456378094335</v>
          </cell>
        </row>
        <row r="28">
          <cell r="U28">
            <v>1.0351541846616912</v>
          </cell>
          <cell r="V28">
            <v>478.83861514916725</v>
          </cell>
          <cell r="Y28">
            <v>5.5425357773202872</v>
          </cell>
          <cell r="AA28">
            <v>106.37301036749784</v>
          </cell>
          <cell r="AB28">
            <v>112.12257698175047</v>
          </cell>
        </row>
        <row r="35">
          <cell r="U35">
            <v>8.1012441953048206</v>
          </cell>
          <cell r="V35">
            <v>3908.5266221233464</v>
          </cell>
          <cell r="AA35">
            <v>197.55621583699184</v>
          </cell>
          <cell r="AB35">
            <v>226.2533538681686</v>
          </cell>
        </row>
        <row r="40">
          <cell r="U40">
            <v>27.314063623934672</v>
          </cell>
          <cell r="V40">
            <v>11372.230455674238</v>
          </cell>
          <cell r="AA40">
            <v>201.95382838756865</v>
          </cell>
          <cell r="AB40">
            <v>286.60030454793667</v>
          </cell>
        </row>
        <row r="50">
          <cell r="U50">
            <v>40.443325080052716</v>
          </cell>
          <cell r="V50">
            <v>17225.958362526922</v>
          </cell>
          <cell r="AA50">
            <v>307.49529482383218</v>
          </cell>
          <cell r="AB50">
            <v>425.49692990688396</v>
          </cell>
        </row>
      </sheetData>
      <sheetData sheetId="17">
        <row r="18">
          <cell r="U18">
            <v>3.309881830303484</v>
          </cell>
          <cell r="V18">
            <v>1019.4628580595173</v>
          </cell>
          <cell r="AB18">
            <v>13.221611411440927</v>
          </cell>
        </row>
        <row r="32">
          <cell r="AB32">
            <v>13.221611411440927</v>
          </cell>
        </row>
        <row r="47">
          <cell r="U47">
            <v>11.05821644032039</v>
          </cell>
          <cell r="V47">
            <v>4210.6905319246125</v>
          </cell>
          <cell r="AA47">
            <v>15.862841773965934</v>
          </cell>
          <cell r="AB47">
            <v>54.713520093393278</v>
          </cell>
        </row>
        <row r="57">
          <cell r="U57">
            <v>4.0032817469416466</v>
          </cell>
          <cell r="V57">
            <v>1071.9806416565227</v>
          </cell>
          <cell r="AA57">
            <v>50.325931184788331</v>
          </cell>
          <cell r="AB57">
            <v>66.260332451239918</v>
          </cell>
        </row>
      </sheetData>
      <sheetData sheetId="18">
        <row r="18">
          <cell r="U18">
            <v>1.3690397794177553</v>
          </cell>
          <cell r="V18">
            <v>639.48124732824272</v>
          </cell>
          <cell r="Y18">
            <v>6.318546552662152</v>
          </cell>
          <cell r="AA18">
            <v>6.4401795544151801</v>
          </cell>
          <cell r="AB18">
            <v>13.032534062960883</v>
          </cell>
        </row>
        <row r="23">
          <cell r="U23">
            <v>11.839662227882457</v>
          </cell>
          <cell r="V23">
            <v>6953.9724045211324</v>
          </cell>
          <cell r="AA23">
            <v>6.4401795544151801</v>
          </cell>
          <cell r="AB23">
            <v>45.622055982285801</v>
          </cell>
        </row>
      </sheetData>
      <sheetData sheetId="19">
        <row r="29">
          <cell r="U29">
            <v>10.470622448464701</v>
          </cell>
          <cell r="V29">
            <v>6314.4911571928897</v>
          </cell>
          <cell r="AB29">
            <v>35.072308721201679</v>
          </cell>
        </row>
      </sheetData>
      <sheetData sheetId="20">
        <row r="22">
          <cell r="U22">
            <v>19.212819428629849</v>
          </cell>
          <cell r="V22">
            <v>7463.7038335508914</v>
          </cell>
          <cell r="AA22">
            <v>4.3976125505768024</v>
          </cell>
          <cell r="AB22">
            <v>67.408484682708604</v>
          </cell>
        </row>
      </sheetData>
      <sheetData sheetId="21">
        <row r="17">
          <cell r="AA17">
            <v>4.3976125505768024</v>
          </cell>
        </row>
        <row r="19">
          <cell r="AB19">
            <v>4.3976125505768024</v>
          </cell>
        </row>
        <row r="30">
          <cell r="U30">
            <v>11.262279024164524</v>
          </cell>
          <cell r="V30">
            <v>3571.2092845963698</v>
          </cell>
          <cell r="AB30">
            <v>44.6828422699177</v>
          </cell>
        </row>
      </sheetData>
      <sheetData sheetId="22">
        <row r="23">
          <cell r="U23">
            <v>4.7024724012245898</v>
          </cell>
          <cell r="V23">
            <v>2358.6663397831562</v>
          </cell>
          <cell r="AA23">
            <v>91.183205469494013</v>
          </cell>
          <cell r="AB23">
            <v>108.71870330514756</v>
          </cell>
        </row>
        <row r="36">
          <cell r="U36">
            <v>6.1537185328078285</v>
          </cell>
          <cell r="V36">
            <v>2947.1744442084228</v>
          </cell>
          <cell r="AB36">
            <v>113.6378222148698</v>
          </cell>
        </row>
      </sheetData>
      <sheetData sheetId="23">
        <row r="18">
          <cell r="AB18">
            <v>90.76486627139144</v>
          </cell>
        </row>
        <row r="27">
          <cell r="U27">
            <v>4.2187236906968435</v>
          </cell>
          <cell r="V27">
            <v>2162.4969716414007</v>
          </cell>
          <cell r="AA27">
            <v>74.906005102913099</v>
          </cell>
          <cell r="AB27">
            <v>90.76486627139144</v>
          </cell>
        </row>
        <row r="33">
          <cell r="AB33">
            <v>16.277200366580914</v>
          </cell>
        </row>
      </sheetData>
      <sheetData sheetId="24">
        <row r="25">
          <cell r="U25">
            <v>2.8381808672626483</v>
          </cell>
          <cell r="V25">
            <v>1262.1903451734452</v>
          </cell>
          <cell r="AA25">
            <v>51.71712200936517</v>
          </cell>
          <cell r="AB25">
            <v>62.878330053347256</v>
          </cell>
        </row>
        <row r="29">
          <cell r="U29">
            <v>4.2455004604572304</v>
          </cell>
          <cell r="V29">
            <v>1725.5825533823167</v>
          </cell>
          <cell r="AA29">
            <v>61.574684137372117</v>
          </cell>
          <cell r="AB29">
            <v>77.85508083310161</v>
          </cell>
        </row>
        <row r="33">
          <cell r="U33">
            <v>6.5921814915523758</v>
          </cell>
          <cell r="V33">
            <v>2896.420199456732</v>
          </cell>
          <cell r="AA33">
            <v>61.574684137372117</v>
          </cell>
          <cell r="AB33">
            <v>85.671265783327243</v>
          </cell>
        </row>
      </sheetData>
      <sheetData sheetId="25">
        <row r="29">
          <cell r="U29">
            <v>1.4073195931945823</v>
          </cell>
          <cell r="V29">
            <v>463.39220820887158</v>
          </cell>
          <cell r="Y29">
            <v>6.8061606556219125</v>
          </cell>
          <cell r="AA29">
            <v>9.8575621280069434</v>
          </cell>
          <cell r="AB29">
            <v>16.945186702267772</v>
          </cell>
        </row>
      </sheetData>
      <sheetData sheetId="26">
        <row r="17">
          <cell r="AA17">
            <v>22.326525130567582</v>
          </cell>
        </row>
        <row r="33">
          <cell r="U33">
            <v>1.9396862181293633</v>
          </cell>
          <cell r="V33">
            <v>954.58794891027526</v>
          </cell>
          <cell r="Y33">
            <v>7.5134950447532169</v>
          </cell>
          <cell r="AB33">
            <v>30.227957418946673</v>
          </cell>
        </row>
      </sheetData>
      <sheetData sheetId="27">
        <row r="18">
          <cell r="AB18">
            <v>12.677649149269628</v>
          </cell>
        </row>
        <row r="31">
          <cell r="U31">
            <v>2.9936668055796893</v>
          </cell>
          <cell r="V31">
            <v>2079.0863741638036</v>
          </cell>
          <cell r="AA31">
            <v>12.677649149269628</v>
          </cell>
          <cell r="AB31">
            <v>23.971643709639547</v>
          </cell>
        </row>
      </sheetData>
      <sheetData sheetId="28">
        <row r="47">
          <cell r="U47">
            <v>8.2942869067584155</v>
          </cell>
          <cell r="V47">
            <v>4534.0919328592572</v>
          </cell>
          <cell r="AA47">
            <v>2.8726156125554243</v>
          </cell>
          <cell r="AB47">
            <v>31.770703877718933</v>
          </cell>
        </row>
      </sheetData>
      <sheetData sheetId="29">
        <row r="38">
          <cell r="U38">
            <v>11.698919662946128</v>
          </cell>
          <cell r="V38">
            <v>5347.0857592109824</v>
          </cell>
          <cell r="AA38">
            <v>80.567940798443999</v>
          </cell>
          <cell r="AB38">
            <v>120.55327027378911</v>
          </cell>
        </row>
      </sheetData>
      <sheetData sheetId="30">
        <row r="32">
          <cell r="U32">
            <v>3.3297926030705396</v>
          </cell>
          <cell r="V32">
            <v>1164.6590832982972</v>
          </cell>
          <cell r="AA32">
            <v>78.60601677239589</v>
          </cell>
          <cell r="AB32">
            <v>91.779818394112326</v>
          </cell>
        </row>
      </sheetData>
      <sheetData sheetId="31">
        <row r="17">
          <cell r="P17">
            <v>0.10024994236325117</v>
          </cell>
          <cell r="Q17">
            <v>61.167771483571038</v>
          </cell>
          <cell r="Y17">
            <v>2.7411751949374921</v>
          </cell>
          <cell r="AA17">
            <v>23.450938520547624</v>
          </cell>
        </row>
        <row r="23">
          <cell r="AB23">
            <v>26.212163703957767</v>
          </cell>
        </row>
        <row r="35">
          <cell r="U35">
            <v>5.3423295305780867</v>
          </cell>
          <cell r="V35">
            <v>2832.8710328502343</v>
          </cell>
          <cell r="AB35">
            <v>43.022233656977988</v>
          </cell>
        </row>
      </sheetData>
      <sheetData sheetId="32">
        <row r="29">
          <cell r="AB29">
            <v>19.767415837931814</v>
          </cell>
        </row>
        <row r="36">
          <cell r="AB36">
            <v>26.61836840908121</v>
          </cell>
        </row>
      </sheetData>
      <sheetData sheetId="33">
        <row r="18">
          <cell r="AB18">
            <v>8.9062520665816702</v>
          </cell>
        </row>
        <row r="30">
          <cell r="U30">
            <v>9.0132584039967778</v>
          </cell>
          <cell r="V30">
            <v>5690.4563168049417</v>
          </cell>
          <cell r="AA30">
            <v>32.723323761352027</v>
          </cell>
          <cell r="AB30">
            <v>63.300608092187474</v>
          </cell>
        </row>
      </sheetData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65.241702930778985</v>
          </cell>
          <cell r="V19">
            <v>36972.960962851539</v>
          </cell>
          <cell r="AB19">
            <v>319.45227998542157</v>
          </cell>
        </row>
        <row r="25">
          <cell r="U25">
            <v>71.773831177524812</v>
          </cell>
          <cell r="V25">
            <v>41070.053424866033</v>
          </cell>
          <cell r="AB25">
            <v>333.22106887878294</v>
          </cell>
        </row>
        <row r="41">
          <cell r="U41">
            <v>89.464251781810475</v>
          </cell>
          <cell r="V41">
            <v>50496.243337655695</v>
          </cell>
          <cell r="AA41">
            <v>150.55360997485394</v>
          </cell>
          <cell r="AB41">
            <v>370.68682695949235</v>
          </cell>
        </row>
      </sheetData>
      <sheetData sheetId="3">
        <row r="23">
          <cell r="AB23">
            <v>283.28517632601847</v>
          </cell>
        </row>
        <row r="26">
          <cell r="U26">
            <v>54.601500067315087</v>
          </cell>
          <cell r="V26">
            <v>30523.790394834567</v>
          </cell>
          <cell r="AA26">
            <v>137.50780398445113</v>
          </cell>
          <cell r="AB26">
            <v>283.28517632601847</v>
          </cell>
        </row>
      </sheetData>
      <sheetData sheetId="4">
        <row r="20">
          <cell r="U20">
            <v>33.987706731265092</v>
          </cell>
          <cell r="V20">
            <v>18824.353492835642</v>
          </cell>
          <cell r="AA20">
            <v>129.41821641025953</v>
          </cell>
          <cell r="AB20">
            <v>227.26603524801894</v>
          </cell>
        </row>
      </sheetData>
      <sheetData sheetId="5">
        <row r="24">
          <cell r="U24">
            <v>2.475620923442245</v>
          </cell>
          <cell r="V24">
            <v>1446.989179432748</v>
          </cell>
          <cell r="AA24">
            <v>41.119569971786596</v>
          </cell>
          <cell r="AB24">
            <v>50.751722260532496</v>
          </cell>
        </row>
        <row r="42">
          <cell r="U42">
            <v>4.9512418468844901</v>
          </cell>
          <cell r="V42">
            <v>2893.9783588654959</v>
          </cell>
          <cell r="AA42">
            <v>82.239139943573193</v>
          </cell>
          <cell r="AB42">
            <v>100.33907999834094</v>
          </cell>
        </row>
      </sheetData>
      <sheetData sheetId="6">
        <row r="17">
          <cell r="U17">
            <v>2.4583675648029488</v>
          </cell>
          <cell r="V17">
            <v>1410.658748098353</v>
          </cell>
          <cell r="AA17">
            <v>49.98967518995434</v>
          </cell>
        </row>
        <row r="19">
          <cell r="AB19">
            <v>59.574076238162249</v>
          </cell>
        </row>
      </sheetData>
      <sheetData sheetId="7">
        <row r="48">
          <cell r="U48">
            <v>24.613932139427043</v>
          </cell>
          <cell r="V48">
            <v>13430.841458163792</v>
          </cell>
          <cell r="AA48">
            <v>6.0595064948997397</v>
          </cell>
          <cell r="AB48">
            <v>80.55428586209166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4.9684952055237863</v>
          </cell>
          <cell r="V25">
            <v>2930.3087901998906</v>
          </cell>
          <cell r="AA25">
            <v>73.369034725405442</v>
          </cell>
          <cell r="AB25">
            <v>91.509308845834425</v>
          </cell>
        </row>
      </sheetData>
      <sheetData sheetId="10">
        <row r="17">
          <cell r="P17">
            <v>20.810008144122399</v>
          </cell>
          <cell r="Q17">
            <v>8168.1189762957629</v>
          </cell>
        </row>
        <row r="37">
          <cell r="AB37">
            <v>67.453848302910714</v>
          </cell>
        </row>
      </sheetData>
      <sheetData sheetId="11">
        <row r="22">
          <cell r="U22">
            <v>20.613793336049994</v>
          </cell>
          <cell r="V22">
            <v>11699.436901998924</v>
          </cell>
          <cell r="AA22">
            <v>8.0895875741916097</v>
          </cell>
          <cell r="AB22">
            <v>71.717762255986472</v>
          </cell>
        </row>
      </sheetData>
      <sheetData sheetId="12">
        <row r="30">
          <cell r="U30">
            <v>18.156930018273162</v>
          </cell>
          <cell r="V30">
            <v>10565.927444365811</v>
          </cell>
          <cell r="AA30">
            <v>8.0895875741916097</v>
          </cell>
          <cell r="AB30">
            <v>64.937011888237762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4.2799932935213612</v>
          </cell>
        </row>
      </sheetData>
      <sheetData sheetId="15">
        <row r="21">
          <cell r="U21">
            <v>43.170133264571021</v>
          </cell>
          <cell r="V21">
            <v>18009.34166223248</v>
          </cell>
          <cell r="AA21">
            <v>313.59171656450815</v>
          </cell>
          <cell r="AB21">
            <v>438.70990117823004</v>
          </cell>
        </row>
      </sheetData>
      <sheetData sheetId="16">
        <row r="18">
          <cell r="AB18">
            <v>63.981569593030429</v>
          </cell>
        </row>
        <row r="28">
          <cell r="U28">
            <v>1.0584056803503223</v>
          </cell>
          <cell r="V28">
            <v>482.67573058552927</v>
          </cell>
          <cell r="Y28">
            <v>5.6122771250419419</v>
          </cell>
          <cell r="AA28">
            <v>108.65287578597217</v>
          </cell>
          <cell r="AB28">
            <v>114.47683404708418</v>
          </cell>
        </row>
        <row r="35">
          <cell r="U35">
            <v>8.2627196986386409</v>
          </cell>
          <cell r="V35">
            <v>3935.9805641809303</v>
          </cell>
          <cell r="AA35">
            <v>201.3445113773646</v>
          </cell>
          <cell r="AB35">
            <v>230.59122850555835</v>
          </cell>
        </row>
        <row r="40">
          <cell r="U40">
            <v>27.907094923236446</v>
          </cell>
          <cell r="V40">
            <v>11459.493887372148</v>
          </cell>
          <cell r="AA40">
            <v>205.77174234153898</v>
          </cell>
          <cell r="AB40">
            <v>292.16335898179051</v>
          </cell>
        </row>
        <row r="50">
          <cell r="U50">
            <v>41.166418406784352</v>
          </cell>
          <cell r="V50">
            <v>17333.595639412739</v>
          </cell>
          <cell r="AA50">
            <v>313.59171656450815</v>
          </cell>
          <cell r="AB50">
            <v>433.59097698932402</v>
          </cell>
        </row>
      </sheetData>
      <sheetData sheetId="17">
        <row r="18">
          <cell r="U18">
            <v>3.384227955979759</v>
          </cell>
          <cell r="V18">
            <v>1027.6322006014493</v>
          </cell>
          <cell r="AB18">
            <v>13.510977593652449</v>
          </cell>
        </row>
        <row r="32">
          <cell r="AB32">
            <v>13.510977593652449</v>
          </cell>
        </row>
        <row r="47">
          <cell r="U47">
            <v>11.306604627989351</v>
          </cell>
          <cell r="V47">
            <v>4244.4323921811374</v>
          </cell>
          <cell r="AA47">
            <v>16.12490593964667</v>
          </cell>
          <cell r="AB47">
            <v>55.812829487658959</v>
          </cell>
        </row>
        <row r="57">
          <cell r="U57">
            <v>4.0932029293689878</v>
          </cell>
          <cell r="V57">
            <v>1080.5708291172816</v>
          </cell>
          <cell r="AA57">
            <v>51.408217092510917</v>
          </cell>
          <cell r="AB57">
            <v>67.691185352004368</v>
          </cell>
        </row>
      </sheetData>
      <sheetData sheetId="18">
        <row r="18">
          <cell r="U18">
            <v>1.3997909689510324</v>
          </cell>
          <cell r="V18">
            <v>644.60565310454547</v>
          </cell>
          <cell r="Y18">
            <v>6.4149308527735789</v>
          </cell>
          <cell r="AA18">
            <v>6.5811077490642296</v>
          </cell>
          <cell r="AB18">
            <v>13.275996795628014</v>
          </cell>
        </row>
        <row r="23">
          <cell r="U23">
            <v>12.105603146950882</v>
          </cell>
          <cell r="V23">
            <v>7009.6972228904924</v>
          </cell>
          <cell r="AA23">
            <v>6.5811077490642296</v>
          </cell>
          <cell r="AB23">
            <v>46.602577048207202</v>
          </cell>
        </row>
      </sheetData>
      <sheetData sheetId="19">
        <row r="29">
          <cell r="U29">
            <v>10.705812177999849</v>
          </cell>
          <cell r="V29">
            <v>6365.0915697859473</v>
          </cell>
          <cell r="AB29">
            <v>35.824647835497771</v>
          </cell>
        </row>
      </sheetData>
      <sheetData sheetId="20">
        <row r="22">
          <cell r="U22">
            <v>19.644375224597805</v>
          </cell>
          <cell r="V22">
            <v>7523.5133231912168</v>
          </cell>
          <cell r="AA22">
            <v>4.427230964174373</v>
          </cell>
          <cell r="AB22">
            <v>68.787258011514027</v>
          </cell>
        </row>
      </sheetData>
      <sheetData sheetId="21">
        <row r="17">
          <cell r="AA17">
            <v>4.427230964174373</v>
          </cell>
        </row>
        <row r="19">
          <cell r="AB19">
            <v>4.427230964174373</v>
          </cell>
        </row>
        <row r="30">
          <cell r="U30">
            <v>11.515250838464926</v>
          </cell>
          <cell r="V30">
            <v>3599.8267390765923</v>
          </cell>
          <cell r="AB30">
            <v>45.582269016325391</v>
          </cell>
        </row>
      </sheetData>
      <sheetData sheetId="22">
        <row r="23">
          <cell r="U23">
            <v>4.8080987111821871</v>
          </cell>
          <cell r="V23">
            <v>2377.5672277551721</v>
          </cell>
          <cell r="AA23">
            <v>92.691635591392426</v>
          </cell>
          <cell r="AB23">
            <v>110.60753898717128</v>
          </cell>
        </row>
        <row r="36">
          <cell r="U36">
            <v>6.2919425404530189</v>
          </cell>
          <cell r="V36">
            <v>2970.7912708296444</v>
          </cell>
          <cell r="AB36">
            <v>115.63214431935258</v>
          </cell>
        </row>
      </sheetData>
      <sheetData sheetId="23">
        <row r="18">
          <cell r="AB18">
            <v>92.261794328505189</v>
          </cell>
        </row>
        <row r="27">
          <cell r="U27">
            <v>4.3134841014252432</v>
          </cell>
          <cell r="V27">
            <v>2179.8258800636809</v>
          </cell>
          <cell r="AA27">
            <v>76.058566433542524</v>
          </cell>
          <cell r="AB27">
            <v>92.261794328505189</v>
          </cell>
        </row>
        <row r="33">
          <cell r="AB33">
            <v>16.633069157849903</v>
          </cell>
        </row>
      </sheetData>
      <sheetData sheetId="24">
        <row r="25">
          <cell r="U25">
            <v>2.8817498412439222</v>
          </cell>
          <cell r="V25">
            <v>1269.8398204627088</v>
          </cell>
          <cell r="AA25">
            <v>52.460425431409263</v>
          </cell>
          <cell r="AB25">
            <v>63.787748456424062</v>
          </cell>
        </row>
        <row r="29">
          <cell r="U29">
            <v>4.3206804600601458</v>
          </cell>
          <cell r="V29">
            <v>1736.9453661906402</v>
          </cell>
          <cell r="AA29">
            <v>62.485486262539837</v>
          </cell>
          <cell r="AB29">
            <v>79.044935624952345</v>
          </cell>
        </row>
        <row r="33">
          <cell r="U33">
            <v>6.7200723285219315</v>
          </cell>
          <cell r="V33">
            <v>2917.1653783965471</v>
          </cell>
          <cell r="AA33">
            <v>62.485486262539837</v>
          </cell>
          <cell r="AB33">
            <v>87.031964167152097</v>
          </cell>
        </row>
      </sheetData>
      <sheetData sheetId="25">
        <row r="29">
          <cell r="U29">
            <v>1.4389306188162236</v>
          </cell>
          <cell r="V29">
            <v>467.10554572793154</v>
          </cell>
          <cell r="Y29">
            <v>6.9063962629694498</v>
          </cell>
          <cell r="AA29">
            <v>10.025060831130574</v>
          </cell>
          <cell r="AB29">
            <v>17.219243217863269</v>
          </cell>
        </row>
      </sheetData>
      <sheetData sheetId="26">
        <row r="17">
          <cell r="AA17">
            <v>22.807338415508209</v>
          </cell>
        </row>
        <row r="33">
          <cell r="U33">
            <v>1.9832551921106372</v>
          </cell>
          <cell r="V33">
            <v>962.23742419953885</v>
          </cell>
          <cell r="Y33">
            <v>7.6545576501932366</v>
          </cell>
          <cell r="AB33">
            <v>30.858547104123573</v>
          </cell>
        </row>
      </sheetData>
      <sheetData sheetId="27">
        <row r="18">
          <cell r="AB18">
            <v>12.952629074263472</v>
          </cell>
        </row>
        <row r="31">
          <cell r="U31">
            <v>3.0609101514063632</v>
          </cell>
          <cell r="V31">
            <v>2095.7468818326529</v>
          </cell>
          <cell r="AA31">
            <v>12.952629074263472</v>
          </cell>
          <cell r="AB31">
            <v>24.491973492754237</v>
          </cell>
        </row>
      </sheetData>
      <sheetData sheetId="28">
        <row r="47">
          <cell r="U47">
            <v>8.36905930740134</v>
          </cell>
          <cell r="V47">
            <v>4546.7667915909815</v>
          </cell>
          <cell r="AA47">
            <v>2.8869565929213694</v>
          </cell>
          <cell r="AB47">
            <v>32.036287948326319</v>
          </cell>
        </row>
      </sheetData>
      <sheetData sheetId="29">
        <row r="38">
          <cell r="U38">
            <v>11.796853543158889</v>
          </cell>
          <cell r="V38">
            <v>5363.3996887113863</v>
          </cell>
          <cell r="AA38">
            <v>82.280888099400897</v>
          </cell>
          <cell r="AB38">
            <v>122.586340611594</v>
          </cell>
        </row>
      </sheetData>
      <sheetData sheetId="30">
        <row r="32">
          <cell r="U32">
            <v>3.404585961877888</v>
          </cell>
          <cell r="V32">
            <v>1173.991938262868</v>
          </cell>
          <cell r="AA32">
            <v>80.290269792440029</v>
          </cell>
          <cell r="AB32">
            <v>93.752013387114999</v>
          </cell>
        </row>
      </sheetData>
      <sheetData sheetId="31">
        <row r="17">
          <cell r="P17">
            <v>0.10250174324198354</v>
          </cell>
          <cell r="Q17">
            <v>61.657932036086954</v>
          </cell>
          <cell r="Y17">
            <v>2.7547697288940038</v>
          </cell>
          <cell r="AA17">
            <v>23.956912009839375</v>
          </cell>
        </row>
        <row r="23">
          <cell r="AB23">
            <v>26.732182087381776</v>
          </cell>
        </row>
        <row r="35">
          <cell r="U35">
            <v>5.4623282263164228</v>
          </cell>
          <cell r="V35">
            <v>2855.571902883421</v>
          </cell>
          <cell r="AB35">
            <v>43.951898356763088</v>
          </cell>
        </row>
      </sheetData>
      <sheetData sheetId="32">
        <row r="29">
          <cell r="AB29">
            <v>20.145061248470064</v>
          </cell>
        </row>
        <row r="36">
          <cell r="AB36">
            <v>27.058326034859324</v>
          </cell>
        </row>
      </sheetData>
      <sheetData sheetId="33">
        <row r="18">
          <cell r="AB18">
            <v>9.1009330284539089</v>
          </cell>
        </row>
        <row r="30">
          <cell r="U30">
            <v>9.2157130160983947</v>
          </cell>
          <cell r="V30">
            <v>5736.0561015389985</v>
          </cell>
          <cell r="AA30">
            <v>33.432826632195059</v>
          </cell>
          <cell r="AB30">
            <v>64.666795813397755</v>
          </cell>
        </row>
      </sheetData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7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66.688973751578075</v>
          </cell>
          <cell r="V19">
            <v>37268.215178476261</v>
          </cell>
          <cell r="AB19">
            <v>326.00369615219608</v>
          </cell>
        </row>
        <row r="25">
          <cell r="U25">
            <v>73.330655331950396</v>
          </cell>
          <cell r="V25">
            <v>41390.921372664045</v>
          </cell>
          <cell r="AB25">
            <v>339.97384629095205</v>
          </cell>
        </row>
        <row r="41">
          <cell r="U41">
            <v>91.413506366438185</v>
          </cell>
          <cell r="V41">
            <v>50892.385816801805</v>
          </cell>
          <cell r="AA41">
            <v>153.58040160996183</v>
          </cell>
          <cell r="AB41">
            <v>378.22197828897077</v>
          </cell>
        </row>
      </sheetData>
      <sheetData sheetId="3">
        <row r="23">
          <cell r="AB23">
            <v>289.07655026370594</v>
          </cell>
        </row>
        <row r="26">
          <cell r="U26">
            <v>55.812736964413375</v>
          </cell>
          <cell r="V26">
            <v>30767.543601400175</v>
          </cell>
          <cell r="AA26">
            <v>140.25454921466846</v>
          </cell>
          <cell r="AB26">
            <v>289.07655026370594</v>
          </cell>
        </row>
      </sheetData>
      <sheetData sheetId="4">
        <row r="20">
          <cell r="U20">
            <v>34.741663387948726</v>
          </cell>
          <cell r="V20">
            <v>18974.678746221594</v>
          </cell>
          <cell r="AA20">
            <v>132.12955909973701</v>
          </cell>
          <cell r="AB20">
            <v>232.02727057489142</v>
          </cell>
        </row>
      </sheetData>
      <sheetData sheetId="5">
        <row r="24">
          <cell r="U24">
            <v>2.5305381583534658</v>
          </cell>
          <cell r="V24">
            <v>1458.5443712287235</v>
          </cell>
          <cell r="AA24">
            <v>41.988037247325785</v>
          </cell>
          <cell r="AB24">
            <v>51.827594093250418</v>
          </cell>
        </row>
        <row r="42">
          <cell r="U42">
            <v>5.0610763167069317</v>
          </cell>
          <cell r="V42">
            <v>2917.0887424574471</v>
          </cell>
          <cell r="AA42">
            <v>83.97607449465157</v>
          </cell>
          <cell r="AB42">
            <v>102.46276924777031</v>
          </cell>
        </row>
      </sheetData>
      <sheetData sheetId="6">
        <row r="17">
          <cell r="U17">
            <v>2.5129020647241602</v>
          </cell>
          <cell r="V17">
            <v>1421.9238167143724</v>
          </cell>
          <cell r="AA17">
            <v>51.042973514086974</v>
          </cell>
        </row>
        <row r="19">
          <cell r="AB19">
            <v>60.833806041579848</v>
          </cell>
        </row>
      </sheetData>
      <sheetData sheetId="7">
        <row r="48">
          <cell r="U48">
            <v>25.159948324938288</v>
          </cell>
          <cell r="V48">
            <v>13538.095853176797</v>
          </cell>
          <cell r="AA48">
            <v>6.1654473577596516</v>
          </cell>
          <cell r="AB48">
            <v>82.225367430241889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5.0787124103362373</v>
          </cell>
          <cell r="V25">
            <v>2953.7092969717983</v>
          </cell>
          <cell r="AA25">
            <v>74.921138227890381</v>
          </cell>
          <cell r="AB25">
            <v>93.448973248762343</v>
          </cell>
        </row>
      </sheetData>
      <sheetData sheetId="10">
        <row r="17">
          <cell r="P17">
            <v>21.271641060104599</v>
          </cell>
          <cell r="Q17">
            <v>8233.3469563836625</v>
          </cell>
        </row>
        <row r="37">
          <cell r="AB37">
            <v>68.878198186521743</v>
          </cell>
        </row>
      </sheetData>
      <sheetData sheetId="11">
        <row r="22">
          <cell r="U22">
            <v>21.071073576464649</v>
          </cell>
          <cell r="V22">
            <v>11792.864855178583</v>
          </cell>
          <cell r="AA22">
            <v>8.1249901149314532</v>
          </cell>
          <cell r="AB22">
            <v>73.091754068844253</v>
          </cell>
        </row>
      </sheetData>
      <sheetData sheetId="12">
        <row r="30">
          <cell r="U30">
            <v>18.559709127804052</v>
          </cell>
          <cell r="V30">
            <v>10650.303554330831</v>
          </cell>
          <cell r="AA30">
            <v>8.1249901149314532</v>
          </cell>
          <cell r="AB30">
            <v>66.169565022523742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4.3153958342612055</v>
          </cell>
        </row>
      </sheetData>
      <sheetData sheetId="15">
        <row r="21">
          <cell r="U21">
            <v>43.944745637326662</v>
          </cell>
          <cell r="V21">
            <v>18122.862717932541</v>
          </cell>
          <cell r="AA21">
            <v>319.73742574243363</v>
          </cell>
          <cell r="AB21">
            <v>446.97993943526285</v>
          </cell>
        </row>
      </sheetData>
      <sheetData sheetId="16">
        <row r="18">
          <cell r="AB18">
            <v>65.336813077003583</v>
          </cell>
        </row>
        <row r="28">
          <cell r="U28">
            <v>1.0818845227000422</v>
          </cell>
          <cell r="V28">
            <v>486.53022426209213</v>
          </cell>
          <cell r="Y28">
            <v>5.6829514744754208</v>
          </cell>
          <cell r="AA28">
            <v>110.95154005865874</v>
          </cell>
          <cell r="AB28">
            <v>116.85086843767417</v>
          </cell>
        </row>
        <row r="35">
          <cell r="U35">
            <v>8.425774064554993</v>
          </cell>
          <cell r="V35">
            <v>3963.5588447442092</v>
          </cell>
          <cell r="AA35">
            <v>205.1647252721516</v>
          </cell>
          <cell r="AB35">
            <v>234.96575912883441</v>
          </cell>
        </row>
        <row r="40">
          <cell r="U40">
            <v>28.505924717724213</v>
          </cell>
          <cell r="V40">
            <v>11547.152533887531</v>
          </cell>
          <cell r="AA40">
            <v>209.62213187538663</v>
          </cell>
          <cell r="AB40">
            <v>297.77314591413926</v>
          </cell>
        </row>
        <row r="50">
          <cell r="U50">
            <v>41.896581939049845</v>
          </cell>
          <cell r="V50">
            <v>17441.720403965614</v>
          </cell>
          <cell r="AA50">
            <v>319.73742574243363</v>
          </cell>
          <cell r="AB50">
            <v>441.75116354619217</v>
          </cell>
        </row>
      </sheetData>
      <sheetData sheetId="17">
        <row r="18">
          <cell r="U18">
            <v>3.4593010174051897</v>
          </cell>
          <cell r="V18">
            <v>1035.8385419773574</v>
          </cell>
          <cell r="AB18">
            <v>13.802918066356836</v>
          </cell>
        </row>
        <row r="32">
          <cell r="AB32">
            <v>13.802918066356836</v>
          </cell>
        </row>
        <row r="47">
          <cell r="U47">
            <v>11.557421486307149</v>
          </cell>
          <cell r="V47">
            <v>4278.3270688337525</v>
          </cell>
          <cell r="AA47">
            <v>16.390525296824819</v>
          </cell>
          <cell r="AB47">
            <v>56.922734117548814</v>
          </cell>
        </row>
        <row r="57">
          <cell r="U57">
            <v>4.1840033361206377</v>
          </cell>
          <cell r="V57">
            <v>1089.1999214125547</v>
          </cell>
          <cell r="AA57">
            <v>52.499535480985273</v>
          </cell>
          <cell r="AB57">
            <v>69.134166129241592</v>
          </cell>
        </row>
      </sheetData>
      <sheetData sheetId="18">
        <row r="18">
          <cell r="U18">
            <v>1.4308428350669482</v>
          </cell>
          <cell r="V18">
            <v>649.75326724034244</v>
          </cell>
          <cell r="Y18">
            <v>6.5125340366044204</v>
          </cell>
          <cell r="AA18">
            <v>6.7232890131546394</v>
          </cell>
          <cell r="AB18">
            <v>13.52199161677245</v>
          </cell>
        </row>
        <row r="23">
          <cell r="U23">
            <v>12.37414436239623</v>
          </cell>
          <cell r="V23">
            <v>7065.674418154641</v>
          </cell>
          <cell r="AA23">
            <v>6.7232890131546394</v>
          </cell>
          <cell r="AB23">
            <v>47.591268562253752</v>
          </cell>
        </row>
      </sheetData>
      <sheetData sheetId="19">
        <row r="29">
          <cell r="U29">
            <v>10.943301527329282</v>
          </cell>
          <cell r="V29">
            <v>6415.9211509142988</v>
          </cell>
          <cell r="AB29">
            <v>36.583209098278736</v>
          </cell>
        </row>
      </sheetData>
      <sheetData sheetId="20">
        <row r="22">
          <cell r="U22">
            <v>20.08015065316922</v>
          </cell>
          <cell r="V22">
            <v>7583.5936891433212</v>
          </cell>
          <cell r="AA22">
            <v>4.457406603235043</v>
          </cell>
          <cell r="AB22">
            <v>70.177673747898069</v>
          </cell>
        </row>
      </sheetData>
      <sheetData sheetId="21">
        <row r="17">
          <cell r="AA17">
            <v>4.457406603235043</v>
          </cell>
        </row>
        <row r="19">
          <cell r="AB19">
            <v>4.457406603235043</v>
          </cell>
        </row>
        <row r="30">
          <cell r="U30">
            <v>11.770696140841149</v>
          </cell>
          <cell r="V30">
            <v>3628.5738015934098</v>
          </cell>
          <cell r="AB30">
            <v>46.489617247307478</v>
          </cell>
        </row>
      </sheetData>
      <sheetData sheetId="22">
        <row r="23">
          <cell r="U23">
            <v>4.9147578058351691</v>
          </cell>
          <cell r="V23">
            <v>2396.5537175748864</v>
          </cell>
          <cell r="AA23">
            <v>94.213185213492849</v>
          </cell>
          <cell r="AB23">
            <v>112.51277075129416</v>
          </cell>
        </row>
        <row r="36">
          <cell r="U36">
            <v>6.4315180640196514</v>
          </cell>
          <cell r="V36">
            <v>2994.5150577163608</v>
          </cell>
          <cell r="AB36">
            <v>117.64373280727773</v>
          </cell>
        </row>
      </sheetData>
      <sheetData sheetId="23">
        <row r="18">
          <cell r="AB18">
            <v>93.771664721712256</v>
          </cell>
        </row>
        <row r="27">
          <cell r="U27">
            <v>4.4091710531070083</v>
          </cell>
          <cell r="V27">
            <v>2197.2332708610616</v>
          </cell>
          <cell r="AA27">
            <v>77.221093426161858</v>
          </cell>
          <cell r="AB27">
            <v>93.771664721712256</v>
          </cell>
        </row>
        <row r="33">
          <cell r="AB33">
            <v>16.992091787330992</v>
          </cell>
        </row>
      </sheetData>
      <sheetData sheetId="24">
        <row r="25">
          <cell r="U25">
            <v>2.9257448205409129</v>
          </cell>
          <cell r="V25">
            <v>1277.5239401146955</v>
          </cell>
          <cell r="AA25">
            <v>53.210222819925214</v>
          </cell>
          <cell r="AB25">
            <v>64.705175770293849</v>
          </cell>
        </row>
        <row r="29">
          <cell r="U29">
            <v>4.3965955487996604</v>
          </cell>
          <cell r="V29">
            <v>1748.3596410134944</v>
          </cell>
          <cell r="AA29">
            <v>63.406185657447367</v>
          </cell>
          <cell r="AB29">
            <v>80.247185369828898</v>
          </cell>
        </row>
        <row r="33">
          <cell r="U33">
            <v>6.849213646542613</v>
          </cell>
          <cell r="V33">
            <v>2938.004511951126</v>
          </cell>
          <cell r="AA33">
            <v>63.406185657447367</v>
          </cell>
          <cell r="AB33">
            <v>88.406475903145392</v>
          </cell>
        </row>
      </sheetData>
      <sheetData sheetId="25">
        <row r="29">
          <cell r="U29">
            <v>1.4708507282587473</v>
          </cell>
          <cell r="V29">
            <v>470.8357008987989</v>
          </cell>
          <cell r="Y29">
            <v>7.00792947584433</v>
          </cell>
          <cell r="AA29">
            <v>10.195962837522156</v>
          </cell>
          <cell r="AB29">
            <v>17.498062459018236</v>
          </cell>
        </row>
      </sheetData>
      <sheetData sheetId="26">
        <row r="17">
          <cell r="AA17">
            <v>23.2921846279779</v>
          </cell>
        </row>
        <row r="33">
          <cell r="U33">
            <v>2.0272501714076276</v>
          </cell>
          <cell r="V33">
            <v>969.9215438515256</v>
          </cell>
          <cell r="Y33">
            <v>7.7973204148481123</v>
          </cell>
          <cell r="AB33">
            <v>31.494955077107537</v>
          </cell>
        </row>
      </sheetData>
      <sheetData sheetId="27">
        <row r="18">
          <cell r="AB18">
            <v>13.229976185100218</v>
          </cell>
        </row>
        <row r="31">
          <cell r="U31">
            <v>3.1288109839753462</v>
          </cell>
          <cell r="V31">
            <v>2112.4828446992774</v>
          </cell>
          <cell r="AA31">
            <v>13.229976185100218</v>
          </cell>
          <cell r="AB31">
            <v>25.016794620410018</v>
          </cell>
        </row>
      </sheetData>
      <sheetData sheetId="28">
        <row r="47">
          <cell r="U47">
            <v>8.4445628117915437</v>
          </cell>
          <cell r="V47">
            <v>4559.4990545742094</v>
          </cell>
          <cell r="AA47">
            <v>2.9012573388858716</v>
          </cell>
          <cell r="AB47">
            <v>32.304191600095521</v>
          </cell>
        </row>
      </sheetData>
      <sheetData sheetId="29">
        <row r="38">
          <cell r="U38">
            <v>11.895744993627432</v>
          </cell>
          <cell r="V38">
            <v>5379.7875037620624</v>
          </cell>
          <cell r="AA38">
            <v>84.007573623815034</v>
          </cell>
          <cell r="AB38">
            <v>124.63614955218821</v>
          </cell>
        </row>
      </sheetData>
      <sheetData sheetId="30">
        <row r="32">
          <cell r="U32">
            <v>3.4801106293556199</v>
          </cell>
          <cell r="V32">
            <v>1183.3670615923145</v>
          </cell>
          <cell r="AA32">
            <v>81.988395789232442</v>
          </cell>
          <cell r="AB32">
            <v>95.740630699904244</v>
          </cell>
        </row>
      </sheetData>
      <sheetData sheetId="31">
        <row r="17">
          <cell r="P17">
            <v>0.1047755616037231</v>
          </cell>
          <cell r="Q17">
            <v>62.150312518641442</v>
          </cell>
          <cell r="Y17">
            <v>2.7683290754919874</v>
          </cell>
          <cell r="AA17">
            <v>24.467158259569644</v>
          </cell>
        </row>
        <row r="23">
          <cell r="AB23">
            <v>27.256442447382376</v>
          </cell>
        </row>
        <row r="35">
          <cell r="U35">
            <v>5.5835002359428838</v>
          </cell>
          <cell r="V35">
            <v>2878.3755848279902</v>
          </cell>
          <cell r="AB35">
            <v>44.889457785896788</v>
          </cell>
        </row>
      </sheetData>
      <sheetData sheetId="32">
        <row r="29">
          <cell r="AB29">
            <v>20.526326161568992</v>
          </cell>
        </row>
        <row r="36">
          <cell r="AB36">
            <v>27.805303182404771</v>
          </cell>
        </row>
      </sheetData>
      <sheetData sheetId="33">
        <row r="18">
          <cell r="AB18">
            <v>9.2973381350009916</v>
          </cell>
        </row>
        <row r="30">
          <cell r="U30">
            <v>9.4201471731161632</v>
          </cell>
          <cell r="V30">
            <v>5781.8624070372498</v>
          </cell>
          <cell r="AA30">
            <v>34.148432350965166</v>
          </cell>
          <cell r="AB30">
            <v>66.044540183384413</v>
          </cell>
        </row>
      </sheetData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8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68.155631504786328</v>
          </cell>
          <cell r="V19">
            <v>37565.066801940244</v>
          </cell>
          <cell r="AB19">
            <v>332.63336591689256</v>
          </cell>
        </row>
        <row r="25">
          <cell r="U25">
            <v>74.908333941686649</v>
          </cell>
          <cell r="V25">
            <v>41713.525305752213</v>
          </cell>
          <cell r="AB25">
            <v>346.80739507119154</v>
          </cell>
        </row>
        <row r="41">
          <cell r="U41">
            <v>93.388872212577795</v>
          </cell>
          <cell r="V41">
            <v>51290.671537494243</v>
          </cell>
          <cell r="AA41">
            <v>156.64426150223505</v>
          </cell>
          <cell r="AB41">
            <v>385.84703301843456</v>
          </cell>
        </row>
      </sheetData>
      <sheetData sheetId="3">
        <row r="23">
          <cell r="AB23">
            <v>294.93713462469395</v>
          </cell>
        </row>
        <row r="26">
          <cell r="U26">
            <v>57.040198998865392</v>
          </cell>
          <cell r="V26">
            <v>31012.615580949911</v>
          </cell>
          <cell r="AA26">
            <v>143.03489139751088</v>
          </cell>
          <cell r="AB26">
            <v>294.93713462469395</v>
          </cell>
        </row>
      </sheetData>
      <sheetData sheetId="4">
        <row r="20">
          <cell r="U20">
            <v>35.505719679429447</v>
          </cell>
          <cell r="V20">
            <v>19125.81730124895</v>
          </cell>
          <cell r="AA20">
            <v>134.87382226094306</v>
          </cell>
          <cell r="AB20">
            <v>236.84552869103223</v>
          </cell>
        </row>
      </sheetData>
      <sheetData sheetId="5">
        <row r="24">
          <cell r="U24">
            <v>2.5861910376969668</v>
          </cell>
          <cell r="V24">
            <v>1470.162079842351</v>
          </cell>
          <cell r="AA24">
            <v>42.866887728554183</v>
          </cell>
          <cell r="AB24">
            <v>52.916438379812696</v>
          </cell>
        </row>
        <row r="42">
          <cell r="U42">
            <v>5.1723820753939336</v>
          </cell>
          <cell r="V42">
            <v>2940.324159684702</v>
          </cell>
          <cell r="AA42">
            <v>85.733775457108365</v>
          </cell>
          <cell r="AB42">
            <v>104.61196855032952</v>
          </cell>
        </row>
      </sheetData>
      <sheetData sheetId="6">
        <row r="17">
          <cell r="U17">
            <v>2.5681670821468265</v>
          </cell>
          <cell r="V17">
            <v>1433.2498325005415</v>
          </cell>
          <cell r="AA17">
            <v>52.108798424936907</v>
          </cell>
        </row>
        <row r="19">
          <cell r="AB19">
            <v>62.108641131683029</v>
          </cell>
        </row>
      </sheetData>
      <sheetData sheetId="7">
        <row r="48">
          <cell r="U48">
            <v>25.713278676347635</v>
          </cell>
          <cell r="V48">
            <v>13645.930524447764</v>
          </cell>
          <cell r="AA48">
            <v>6.2731590752805158</v>
          </cell>
          <cell r="AB48">
            <v>83.916724924177245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5.1904060309440734</v>
          </cell>
          <cell r="V25">
            <v>2977.2364070265116</v>
          </cell>
          <cell r="AA25">
            <v>76.491864760725619</v>
          </cell>
          <cell r="AB25">
            <v>95.412012658904104</v>
          </cell>
        </row>
      </sheetData>
      <sheetData sheetId="10">
        <row r="17">
          <cell r="P17">
            <v>21.739457784957516</v>
          </cell>
          <cell r="Q17">
            <v>8298.9278380770884</v>
          </cell>
        </row>
        <row r="37">
          <cell r="AB37">
            <v>70.319564972843878</v>
          </cell>
        </row>
      </sheetData>
      <sheetData sheetId="11">
        <row r="22">
          <cell r="U22">
            <v>21.534479319435945</v>
          </cell>
          <cell r="V22">
            <v>11886.798279700961</v>
          </cell>
          <cell r="AA22">
            <v>8.1610691365678321</v>
          </cell>
          <cell r="AB22">
            <v>74.482290934935492</v>
          </cell>
        </row>
      </sheetData>
      <sheetData sheetId="12">
        <row r="30">
          <cell r="U30">
            <v>18.96788366938544</v>
          </cell>
          <cell r="V30">
            <v>10735.136162636509</v>
          </cell>
          <cell r="AA30">
            <v>8.1610691365678321</v>
          </cell>
          <cell r="AB30">
            <v>67.417016135707101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4.3514748558975835</v>
          </cell>
        </row>
      </sheetData>
      <sheetData sheetId="15">
        <row r="21">
          <cell r="U21">
            <v>44.729734338754241</v>
          </cell>
          <cell r="V21">
            <v>18236.997954276609</v>
          </cell>
          <cell r="AA21">
            <v>325.95607572707587</v>
          </cell>
          <cell r="AB21">
            <v>455.34880042182363</v>
          </cell>
        </row>
      </sheetData>
      <sheetData sheetId="16">
        <row r="18">
          <cell r="AB18">
            <v>66.708357198888578</v>
          </cell>
        </row>
        <row r="28">
          <cell r="U28">
            <v>1.1056778761441186</v>
          </cell>
          <cell r="V28">
            <v>490.40557182689616</v>
          </cell>
          <cell r="Y28">
            <v>5.7548450330426402</v>
          </cell>
          <cell r="AA28">
            <v>113.27777985175578</v>
          </cell>
          <cell r="AB28">
            <v>119.25376046002725</v>
          </cell>
        </row>
        <row r="35">
          <cell r="U35">
            <v>8.5910126270471405</v>
          </cell>
          <cell r="V35">
            <v>3991.2863315143231</v>
          </cell>
          <cell r="AA35">
            <v>209.03144442087481</v>
          </cell>
          <cell r="AB35">
            <v>239.39364029858407</v>
          </cell>
        </row>
        <row r="40">
          <cell r="U40">
            <v>29.11277614339771</v>
          </cell>
          <cell r="V40">
            <v>11635.285438183881</v>
          </cell>
          <cell r="AA40">
            <v>213.51968496831429</v>
          </cell>
          <cell r="AB40">
            <v>303.45109353431292</v>
          </cell>
        </row>
        <row r="50">
          <cell r="U50">
            <v>42.636526385049123</v>
          </cell>
          <cell r="V50">
            <v>17550.430153718953</v>
          </cell>
          <cell r="AA50">
            <v>325.95607572707587</v>
          </cell>
          <cell r="AB50">
            <v>450.00888046794086</v>
          </cell>
        </row>
        <row r="85">
          <cell r="AA85">
            <v>85.754626630694062</v>
          </cell>
        </row>
      </sheetData>
      <sheetData sheetId="17">
        <row r="18">
          <cell r="U18">
            <v>3.5353797208615978</v>
          </cell>
          <cell r="V18">
            <v>1044.089281954037</v>
          </cell>
          <cell r="AB18">
            <v>14.098532842412272</v>
          </cell>
        </row>
        <row r="32">
          <cell r="AB32">
            <v>14.098532842412272</v>
          </cell>
        </row>
        <row r="47">
          <cell r="U47">
            <v>11.811598164645773</v>
          </cell>
          <cell r="V47">
            <v>4312.4051251616738</v>
          </cell>
          <cell r="AA47">
            <v>16.66066427247204</v>
          </cell>
          <cell r="AB47">
            <v>58.047410452713962</v>
          </cell>
        </row>
        <row r="57">
          <cell r="U57">
            <v>4.2760200607328578</v>
          </cell>
          <cell r="V57">
            <v>1097.8756995092449</v>
          </cell>
          <cell r="AA57">
            <v>53.604043843817834</v>
          </cell>
          <cell r="AB57">
            <v>70.594757709981366</v>
          </cell>
        </row>
      </sheetData>
      <sheetData sheetId="18">
        <row r="18">
          <cell r="U18">
            <v>1.4623106568014785</v>
          </cell>
          <cell r="V18">
            <v>654.92873140753227</v>
          </cell>
          <cell r="Y18">
            <v>6.6117570115150333</v>
          </cell>
          <cell r="AA18">
            <v>6.8672591237586511</v>
          </cell>
          <cell r="AB18">
            <v>13.771478266633981</v>
          </cell>
        </row>
        <row r="23">
          <cell r="U23">
            <v>12.646282824685841</v>
          </cell>
          <cell r="V23">
            <v>7121.9544656925373</v>
          </cell>
          <cell r="AA23">
            <v>6.8672591237586511</v>
          </cell>
          <cell r="AB23">
            <v>48.591898867598545</v>
          </cell>
        </row>
      </sheetData>
      <sheetData sheetId="19">
        <row r="29">
          <cell r="U29">
            <v>11.183972167884361</v>
          </cell>
          <cell r="V29">
            <v>6467.0257342850055</v>
          </cell>
          <cell r="AB29">
            <v>37.350887158423639</v>
          </cell>
        </row>
      </sheetData>
      <sheetData sheetId="20">
        <row r="22">
          <cell r="U22">
            <v>20.521763516350571</v>
          </cell>
          <cell r="V22">
            <v>7643.9991066695566</v>
          </cell>
          <cell r="AA22">
            <v>4.4882405474394886</v>
          </cell>
          <cell r="AB22">
            <v>71.585030015797045</v>
          </cell>
        </row>
      </sheetData>
      <sheetData sheetId="21">
        <row r="17">
          <cell r="AA17">
            <v>4.4882405474394886</v>
          </cell>
        </row>
        <row r="19">
          <cell r="AB19">
            <v>4.4882405474394886</v>
          </cell>
        </row>
        <row r="30">
          <cell r="U30">
            <v>12.02956326361217</v>
          </cell>
          <cell r="V30">
            <v>3657.476393754142</v>
          </cell>
          <cell r="AB30">
            <v>47.408321129903406</v>
          </cell>
        </row>
      </sheetData>
      <sheetData sheetId="22">
        <row r="23">
          <cell r="U23">
            <v>5.022845653579239</v>
          </cell>
          <cell r="V23">
            <v>2415.6429296118404</v>
          </cell>
          <cell r="AA23">
            <v>95.753664569119024</v>
          </cell>
          <cell r="AB23">
            <v>114.44166239108431</v>
          </cell>
        </row>
        <row r="36">
          <cell r="U36">
            <v>6.572963273067721</v>
          </cell>
          <cell r="V36">
            <v>3018.3671969216707</v>
          </cell>
          <cell r="AB36">
            <v>119.68025735267003</v>
          </cell>
        </row>
      </sheetData>
      <sheetData sheetId="23">
        <row r="18">
          <cell r="AB18">
            <v>95.300249152577393</v>
          </cell>
        </row>
        <row r="27">
          <cell r="U27">
            <v>4.5061397804164116</v>
          </cell>
          <cell r="V27">
            <v>2214.7348405085636</v>
          </cell>
          <cell r="AA27">
            <v>78.398042686321602</v>
          </cell>
          <cell r="AB27">
            <v>95.300249152577393</v>
          </cell>
        </row>
        <row r="33">
          <cell r="AB33">
            <v>17.355621882797415</v>
          </cell>
        </row>
      </sheetData>
      <sheetData sheetId="24">
        <row r="25">
          <cell r="U25">
            <v>2.9703291350733791</v>
          </cell>
          <cell r="V25">
            <v>1285.2496330019501</v>
          </cell>
          <cell r="AA25">
            <v>53.969367117725959</v>
          </cell>
          <cell r="AB25">
            <v>65.634099259763573</v>
          </cell>
        </row>
        <row r="29">
          <cell r="U29">
            <v>4.4735275589564223</v>
          </cell>
          <cell r="V29">
            <v>1759.8356702537851</v>
          </cell>
          <cell r="AA29">
            <v>64.340174250027502</v>
          </cell>
          <cell r="AB29">
            <v>81.466287985391133</v>
          </cell>
        </row>
        <row r="33">
          <cell r="U33">
            <v>6.9800848785280571</v>
          </cell>
          <cell r="V33">
            <v>2958.9563910434217</v>
          </cell>
          <cell r="AA33">
            <v>64.340174250027502</v>
          </cell>
          <cell r="AB33">
            <v>89.799916889961125</v>
          </cell>
        </row>
      </sheetData>
      <sheetData sheetId="25">
        <row r="29">
          <cell r="U29">
            <v>1.5031984238830431</v>
          </cell>
          <cell r="V29">
            <v>474.58603725183508</v>
          </cell>
          <cell r="Y29">
            <v>7.1111517697969289</v>
          </cell>
          <cell r="AA29">
            <v>10.370807132301536</v>
          </cell>
          <cell r="AB29">
            <v>17.782598586875075</v>
          </cell>
        </row>
      </sheetData>
      <sheetData sheetId="26">
        <row r="17">
          <cell r="AA17">
            <v>23.782909164736886</v>
          </cell>
        </row>
        <row r="33">
          <cell r="U33">
            <v>2.0718344859400939</v>
          </cell>
          <cell r="V33">
            <v>977.64723673878007</v>
          </cell>
          <cell r="Y33">
            <v>7.9423814000518522</v>
          </cell>
          <cell r="AB33">
            <v>32.139657461976753</v>
          </cell>
        </row>
      </sheetData>
      <sheetData sheetId="27">
        <row r="18">
          <cell r="AB18">
            <v>13.5107412980894</v>
          </cell>
        </row>
        <row r="31">
          <cell r="U31">
            <v>3.197621382903729</v>
          </cell>
          <cell r="V31">
            <v>2129.3093538032331</v>
          </cell>
          <cell r="AA31">
            <v>13.5107412980894</v>
          </cell>
          <cell r="AB31">
            <v>25.548094629600747</v>
          </cell>
        </row>
      </sheetData>
      <sheetData sheetId="28">
        <row r="47">
          <cell r="U47">
            <v>8.521077724216255</v>
          </cell>
          <cell r="V47">
            <v>4572.3002026592385</v>
          </cell>
          <cell r="AA47">
            <v>2.9155310989846059</v>
          </cell>
          <cell r="AB47">
            <v>32.575392476001561</v>
          </cell>
        </row>
      </sheetData>
      <sheetData sheetId="29">
        <row r="38">
          <cell r="U38">
            <v>11.995961145622823</v>
          </cell>
          <cell r="V38">
            <v>5396.2639814730683</v>
          </cell>
          <cell r="AA38">
            <v>85.754626630694062</v>
          </cell>
          <cell r="AB38">
            <v>126.71056250507246</v>
          </cell>
        </row>
      </sheetData>
      <sheetData sheetId="30">
        <row r="32">
          <cell r="U32">
            <v>3.5566469883582372</v>
          </cell>
          <cell r="V32">
            <v>1192.7929069596121</v>
          </cell>
          <cell r="AA32">
            <v>83.706879714593299</v>
          </cell>
          <cell r="AB32">
            <v>97.75325070543893</v>
          </cell>
        </row>
      </sheetData>
      <sheetData sheetId="31">
        <row r="17">
          <cell r="P17">
            <v>0.10707983892466798</v>
          </cell>
          <cell r="Q17">
            <v>62.645356917242218</v>
          </cell>
          <cell r="Y17">
            <v>2.7818640181140344</v>
          </cell>
          <cell r="AA17">
            <v>24.983616996910904</v>
          </cell>
        </row>
        <row r="23">
          <cell r="AB23">
            <v>27.786896982809871</v>
          </cell>
        </row>
        <row r="35">
          <cell r="U35">
            <v>5.7062954065746991</v>
          </cell>
          <cell r="V35">
            <v>2901.3026410662178</v>
          </cell>
          <cell r="AB35">
            <v>45.838472637979294</v>
          </cell>
        </row>
      </sheetData>
      <sheetData sheetId="32">
        <row r="29">
          <cell r="AB29">
            <v>20.912665928250778</v>
          </cell>
        </row>
        <row r="36">
          <cell r="AB36">
            <v>28.334001179739076</v>
          </cell>
        </row>
      </sheetData>
      <sheetData sheetId="33">
        <row r="18">
          <cell r="AB18">
            <v>9.4962079794344358</v>
          </cell>
        </row>
        <row r="30">
          <cell r="U30">
            <v>9.6273198301625875</v>
          </cell>
          <cell r="V30">
            <v>5827.9165374525337</v>
          </cell>
          <cell r="AA30">
            <v>34.872853060311101</v>
          </cell>
          <cell r="AB30">
            <v>67.439078091279157</v>
          </cell>
        </row>
      </sheetData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9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U19">
            <v>69.628199876769131</v>
          </cell>
          <cell r="V19">
            <v>37862.983363963751</v>
          </cell>
          <cell r="AB19">
            <v>339.27728665754228</v>
          </cell>
        </row>
        <row r="25">
          <cell r="U25">
            <v>76.492370583343103</v>
          </cell>
          <cell r="V25">
            <v>42037.286562367161</v>
          </cell>
          <cell r="AB25">
            <v>353.65573067319076</v>
          </cell>
        </row>
        <row r="41">
          <cell r="U41">
            <v>95.372198766954398</v>
          </cell>
          <cell r="V41">
            <v>51690.386085884238</v>
          </cell>
          <cell r="AA41">
            <v>159.71567444233034</v>
          </cell>
          <cell r="AB41">
            <v>393.48833605633911</v>
          </cell>
        </row>
      </sheetData>
      <sheetData sheetId="3">
        <row r="23">
          <cell r="AB23">
            <v>300.81032093255783</v>
          </cell>
        </row>
        <row r="26">
          <cell r="U26">
            <v>58.272607695297708</v>
          </cell>
          <cell r="V26">
            <v>31258.566742489063</v>
          </cell>
          <cell r="AA26">
            <v>145.82199462757166</v>
          </cell>
          <cell r="AB26">
            <v>300.81032093255783</v>
          </cell>
        </row>
      </sheetData>
      <sheetData sheetId="4">
        <row r="20">
          <cell r="U20">
            <v>36.272855111528614</v>
          </cell>
          <cell r="V20">
            <v>19277.498057370576</v>
          </cell>
          <cell r="AA20">
            <v>137.62457025258837</v>
          </cell>
          <cell r="AB20">
            <v>241.67437591278912</v>
          </cell>
        </row>
      </sheetData>
      <sheetData sheetId="5">
        <row r="24">
          <cell r="U24">
            <v>2.6420681976899822</v>
          </cell>
          <cell r="V24">
            <v>1481.8214663344133</v>
          </cell>
          <cell r="AA24">
            <v>43.7477031658388</v>
          </cell>
          <cell r="AB24">
            <v>54.007857521432868</v>
          </cell>
        </row>
        <row r="42">
          <cell r="U42">
            <v>5.2841363953799645</v>
          </cell>
          <cell r="V42">
            <v>2963.6429326688267</v>
          </cell>
          <cell r="AA42">
            <v>87.4954063316776</v>
          </cell>
          <cell r="AB42">
            <v>106.76612733265215</v>
          </cell>
        </row>
      </sheetData>
      <sheetData sheetId="6">
        <row r="17">
          <cell r="U17">
            <v>2.6236548171386334</v>
          </cell>
          <cell r="V17">
            <v>1444.6164797334773</v>
          </cell>
          <cell r="AA17">
            <v>53.176920558288792</v>
          </cell>
        </row>
        <row r="19">
          <cell r="AB19">
            <v>63.386382510718981</v>
          </cell>
        </row>
      </sheetData>
      <sheetData sheetId="7">
        <row r="48">
          <cell r="U48">
            <v>26.268838944556883</v>
          </cell>
          <cell r="V48">
            <v>13754.152046557369</v>
          </cell>
          <cell r="AA48">
            <v>6.3814607550719629</v>
          </cell>
          <cell r="AB48">
            <v>85.611942776818324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U25">
            <v>5.3025497759313138</v>
          </cell>
          <cell r="V25">
            <v>3000.8479192697623</v>
          </cell>
          <cell r="AA25">
            <v>78.066188939227601</v>
          </cell>
          <cell r="AB25">
            <v>97.379679442952849</v>
          </cell>
        </row>
      </sheetData>
      <sheetData sheetId="10">
        <row r="17">
          <cell r="P17">
            <v>22.20915980739327</v>
          </cell>
          <cell r="Q17">
            <v>8364.7439875075306</v>
          </cell>
        </row>
        <row r="37">
          <cell r="AB37">
            <v>71.764139484493043</v>
          </cell>
        </row>
      </sheetData>
      <sheetData sheetId="11">
        <row r="22">
          <cell r="U22">
            <v>21.999752583769098</v>
          </cell>
          <cell r="V22">
            <v>11981.068685118487</v>
          </cell>
          <cell r="AA22">
            <v>8.1974243749832958</v>
          </cell>
          <cell r="AB22">
            <v>75.875956593710839</v>
          </cell>
        </row>
      </sheetData>
      <sheetData sheetId="12">
        <row r="30">
          <cell r="U30">
            <v>19.377703151037885</v>
          </cell>
          <cell r="V30">
            <v>10820.273103169291</v>
          </cell>
          <cell r="AA30">
            <v>8.1974243749832958</v>
          </cell>
          <cell r="AB30">
            <v>68.667333597156528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4.3878300943130473</v>
          </cell>
        </row>
      </sheetData>
      <sheetData sheetId="15">
        <row r="21">
          <cell r="U21">
            <v>45.517886538241505</v>
          </cell>
          <cell r="V21">
            <v>18351.542644383346</v>
          </cell>
          <cell r="AA21">
            <v>332.18764318557396</v>
          </cell>
          <cell r="AB21">
            <v>463.73576176385529</v>
          </cell>
        </row>
      </sheetData>
      <sheetData sheetId="16">
        <row r="18">
          <cell r="AB18">
            <v>68.083095405182206</v>
          </cell>
        </row>
        <row r="28">
          <cell r="U28">
            <v>1.1295671166083732</v>
          </cell>
          <cell r="V28">
            <v>494.29482198386091</v>
          </cell>
          <cell r="Y28">
            <v>5.8272379508439247</v>
          </cell>
          <cell r="AA28">
            <v>115.6093431985918</v>
          </cell>
          <cell r="AB28">
            <v>121.6624945727574</v>
          </cell>
        </row>
        <row r="35">
          <cell r="U35">
            <v>8.756917099597457</v>
          </cell>
          <cell r="V35">
            <v>4019.1132890889935</v>
          </cell>
          <cell r="AA35">
            <v>212.90770238156549</v>
          </cell>
          <cell r="AB35">
            <v>243.83256935477755</v>
          </cell>
        </row>
        <row r="40">
          <cell r="U40">
            <v>29.722073175363555</v>
          </cell>
          <cell r="V40">
            <v>11723.734514334206</v>
          </cell>
          <cell r="AA40">
            <v>217.4271860758073</v>
          </cell>
          <cell r="AB40">
            <v>309.1428877878426</v>
          </cell>
        </row>
        <row r="50">
          <cell r="U50">
            <v>43.379452801126355</v>
          </cell>
          <cell r="V50">
            <v>17659.529893605941</v>
          </cell>
          <cell r="AA50">
            <v>332.18764318557396</v>
          </cell>
          <cell r="AB50">
            <v>458.28447938881891</v>
          </cell>
        </row>
        <row r="85">
          <cell r="AA85">
            <v>87.505224401161371</v>
          </cell>
        </row>
      </sheetData>
      <sheetData sheetId="17">
        <row r="18">
          <cell r="U18">
            <v>3.6117650208719816</v>
          </cell>
          <cell r="V18">
            <v>1052.3696209978973</v>
          </cell>
          <cell r="AB18">
            <v>14.39504372605076</v>
          </cell>
        </row>
        <row r="32">
          <cell r="AB32">
            <v>14.39504372605076</v>
          </cell>
        </row>
        <row r="47">
          <cell r="U47">
            <v>12.066799172923517</v>
          </cell>
          <cell r="V47">
            <v>4346.6054346064666</v>
          </cell>
          <cell r="AA47">
            <v>16.9329169110988</v>
          </cell>
          <cell r="AB47">
            <v>59.176315613288928</v>
          </cell>
        </row>
        <row r="57">
          <cell r="U57">
            <v>4.3684076119942246</v>
          </cell>
          <cell r="V57">
            <v>1106.5826014735467</v>
          </cell>
          <cell r="AA57">
            <v>54.711206665673544</v>
          </cell>
          <cell r="AB57">
            <v>72.059076694277124</v>
          </cell>
        </row>
      </sheetData>
      <sheetData sheetId="18">
        <row r="18">
          <cell r="U18">
            <v>1.4939052936007582</v>
          </cell>
          <cell r="V18">
            <v>660.12276226231745</v>
          </cell>
          <cell r="Y18">
            <v>6.7115898201725805</v>
          </cell>
          <cell r="AA18">
            <v>7.0116648764716061</v>
          </cell>
          <cell r="AB18">
            <v>14.022035755364339</v>
          </cell>
        </row>
        <row r="23">
          <cell r="U23">
            <v>12.919518002757281</v>
          </cell>
          <cell r="V23">
            <v>7178.4364147462638</v>
          </cell>
          <cell r="AA23">
            <v>7.0116648764716061</v>
          </cell>
          <cell r="AB23">
            <v>49.594918763797715</v>
          </cell>
        </row>
      </sheetData>
      <sheetData sheetId="19">
        <row r="29">
          <cell r="U29">
            <v>11.425612709156523</v>
          </cell>
          <cell r="V29">
            <v>6518.3136524839465</v>
          </cell>
          <cell r="AB29">
            <v>38.120343895358594</v>
          </cell>
        </row>
      </sheetData>
      <sheetData sheetId="20">
        <row r="22">
          <cell r="U22">
            <v>20.965156075766096</v>
          </cell>
          <cell r="V22">
            <v>7704.6212252452133</v>
          </cell>
          <cell r="AA22">
            <v>4.5194836942418144</v>
          </cell>
          <cell r="AB22">
            <v>72.995899505263822</v>
          </cell>
        </row>
      </sheetData>
      <sheetData sheetId="21">
        <row r="17">
          <cell r="AA17">
            <v>4.5194836942418144</v>
          </cell>
        </row>
        <row r="19">
          <cell r="AB19">
            <v>4.5194836942418144</v>
          </cell>
        </row>
        <row r="30">
          <cell r="U30">
            <v>12.289473618775082</v>
          </cell>
          <cell r="V30">
            <v>3686.4826723441502</v>
          </cell>
          <cell r="AB30">
            <v>48.32969071330178</v>
          </cell>
        </row>
      </sheetData>
      <sheetData sheetId="22">
        <row r="23">
          <cell r="U23">
            <v>5.131369094467507</v>
          </cell>
          <cell r="V23">
            <v>2434.8006231269537</v>
          </cell>
          <cell r="AA23">
            <v>97.298359182973684</v>
          </cell>
          <cell r="AB23">
            <v>116.37582155567287</v>
          </cell>
        </row>
        <row r="36">
          <cell r="U36">
            <v>6.714978505153784</v>
          </cell>
          <cell r="V36">
            <v>3042.3049043393762</v>
          </cell>
          <cell r="AB36">
            <v>121.72229640136477</v>
          </cell>
        </row>
      </sheetData>
      <sheetData sheetId="23">
        <row r="18">
          <cell r="AB18">
            <v>96.832925763701212</v>
          </cell>
        </row>
        <row r="27">
          <cell r="U27">
            <v>4.6034992909054147</v>
          </cell>
          <cell r="V27">
            <v>2232.2991960561462</v>
          </cell>
          <cell r="AA27">
            <v>79.578119257472679</v>
          </cell>
          <cell r="AB27">
            <v>96.832925763701212</v>
          </cell>
        </row>
        <row r="33">
          <cell r="AB33">
            <v>17.720239925501009</v>
          </cell>
        </row>
      </sheetData>
      <sheetData sheetId="24">
        <row r="25">
          <cell r="U25">
            <v>3.0150931240295145</v>
          </cell>
          <cell r="V25">
            <v>1293.0030413793829</v>
          </cell>
          <cell r="AA25">
            <v>54.730640630964935</v>
          </cell>
          <cell r="AB25">
            <v>66.565699641193802</v>
          </cell>
        </row>
        <row r="29">
          <cell r="U29">
            <v>4.5507696044861969</v>
          </cell>
          <cell r="V29">
            <v>1771.3528691056999</v>
          </cell>
          <cell r="AA29">
            <v>65.278915846710674</v>
          </cell>
          <cell r="AB29">
            <v>82.691013430184682</v>
          </cell>
        </row>
        <row r="33">
          <cell r="U33">
            <v>7.1114835205102329</v>
          </cell>
          <cell r="V33">
            <v>2979.9834338275277</v>
          </cell>
          <cell r="AA33">
            <v>65.278915846710674</v>
          </cell>
          <cell r="AB33">
            <v>91.199388205831113</v>
          </cell>
        </row>
      </sheetData>
      <sheetData sheetId="25">
        <row r="29">
          <cell r="U29">
            <v>1.5356764804566829</v>
          </cell>
          <cell r="V29">
            <v>478.34982772631707</v>
          </cell>
          <cell r="Y29">
            <v>7.2150815459378137</v>
          </cell>
          <cell r="AA29">
            <v>10.54827521574574</v>
          </cell>
          <cell r="AB29">
            <v>18.070492057774892</v>
          </cell>
        </row>
      </sheetData>
      <sheetData sheetId="26">
        <row r="17">
          <cell r="AA17">
            <v>24.274836637654904</v>
          </cell>
        </row>
        <row r="33">
          <cell r="U33">
            <v>2.1165984748962292</v>
          </cell>
          <cell r="V33">
            <v>985.40064511621301</v>
          </cell>
          <cell r="Y33">
            <v>8.0882312459756704</v>
          </cell>
          <cell r="AB33">
            <v>32.786387578609819</v>
          </cell>
        </row>
      </sheetData>
      <sheetData sheetId="27">
        <row r="18">
          <cell r="AB18">
            <v>13.792265503669404</v>
          </cell>
        </row>
        <row r="31">
          <cell r="U31">
            <v>3.2667090871781634</v>
          </cell>
          <cell r="V31">
            <v>2146.1962270654089</v>
          </cell>
          <cell r="AA31">
            <v>13.792265503669404</v>
          </cell>
          <cell r="AB31">
            <v>26.080845118379685</v>
          </cell>
        </row>
      </sheetData>
      <sheetData sheetId="28">
        <row r="47">
          <cell r="U47">
            <v>8.5979009911135247</v>
          </cell>
          <cell r="V47">
            <v>4585.1472741454709</v>
          </cell>
          <cell r="AA47">
            <v>2.9297455169526994</v>
          </cell>
          <cell r="AB47">
            <v>32.847425061623142</v>
          </cell>
        </row>
      </sheetData>
      <sheetData sheetId="29">
        <row r="38">
          <cell r="U38">
            <v>12.096581167892793</v>
          </cell>
          <cell r="V38">
            <v>5412.7995676242936</v>
          </cell>
          <cell r="AA38">
            <v>87.505224401161371</v>
          </cell>
          <cell r="AB38">
            <v>128.7896353884762</v>
          </cell>
        </row>
      </sheetData>
      <sheetData sheetId="30">
        <row r="32">
          <cell r="U32">
            <v>3.6334917882629445</v>
          </cell>
          <cell r="V32">
            <v>1202.2525670188104</v>
          </cell>
          <cell r="AA32">
            <v>85.429279175457793</v>
          </cell>
          <cell r="AB32">
            <v>99.770663607543781</v>
          </cell>
        </row>
      </sheetData>
      <sheetData sheetId="31">
        <row r="17">
          <cell r="P17">
            <v>0.10939340246440875</v>
          </cell>
          <cell r="Q17">
            <v>63.142177259873847</v>
          </cell>
          <cell r="Y17">
            <v>2.7953489608679361</v>
          </cell>
          <cell r="AA17">
            <v>25.501375373088649</v>
          </cell>
        </row>
        <row r="23">
          <cell r="AB23">
            <v>28.318603014449465</v>
          </cell>
        </row>
        <row r="35">
          <cell r="U35">
            <v>5.8295854407419068</v>
          </cell>
          <cell r="V35">
            <v>2924.3119468335512</v>
          </cell>
          <cell r="AB35">
            <v>46.789927009992702</v>
          </cell>
        </row>
      </sheetData>
      <sheetData sheetId="32">
        <row r="29">
          <cell r="AB29">
            <v>21.300404764841964</v>
          </cell>
        </row>
        <row r="36">
          <cell r="AB36">
            <v>28.864811127273395</v>
          </cell>
        </row>
      </sheetData>
      <sheetData sheetId="33">
        <row r="18">
          <cell r="AB18">
            <v>9.6956716063771218</v>
          </cell>
        </row>
        <row r="30">
          <cell r="U30">
            <v>9.8353273913259667</v>
          </cell>
          <cell r="V30">
            <v>5874.135884479173</v>
          </cell>
          <cell r="AA30">
            <v>35.599226374408289</v>
          </cell>
          <cell r="AB30">
            <v>68.837147853611128</v>
          </cell>
        </row>
      </sheetData>
      <sheetData sheetId="3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zoomScale="90" zoomScaleNormal="90" workbookViewId="0">
      <pane xSplit="7500" topLeftCell="S1"/>
      <selection pane="topRight"/>
    </sheetView>
  </sheetViews>
  <sheetFormatPr baseColWidth="10" defaultColWidth="11.44140625" defaultRowHeight="13.2" x14ac:dyDescent="0.3"/>
  <cols>
    <col min="1" max="1" width="50.44140625" style="20" customWidth="1"/>
    <col min="2" max="2" width="10.109375" style="20" customWidth="1"/>
    <col min="3" max="18" width="12.5546875" style="20" bestFit="1" customWidth="1"/>
    <col min="19" max="19" width="13.44140625" style="21" customWidth="1"/>
    <col min="20" max="16384" width="11.44140625" style="20"/>
  </cols>
  <sheetData>
    <row r="1" spans="1:19" x14ac:dyDescent="0.3">
      <c r="A1" s="19" t="s">
        <v>24</v>
      </c>
      <c r="C1" s="20">
        <v>0</v>
      </c>
      <c r="D1" s="20">
        <v>1</v>
      </c>
      <c r="E1" s="20">
        <v>2</v>
      </c>
      <c r="F1" s="20">
        <v>3</v>
      </c>
      <c r="G1" s="20">
        <v>4</v>
      </c>
      <c r="H1" s="20">
        <v>5</v>
      </c>
      <c r="I1" s="20">
        <v>6</v>
      </c>
      <c r="J1" s="20">
        <v>7</v>
      </c>
      <c r="K1" s="20">
        <v>8</v>
      </c>
      <c r="L1" s="20">
        <v>9</v>
      </c>
      <c r="M1" s="20">
        <v>10</v>
      </c>
      <c r="N1" s="20">
        <v>11</v>
      </c>
      <c r="O1" s="20">
        <v>12</v>
      </c>
      <c r="P1" s="20">
        <v>13</v>
      </c>
      <c r="Q1" s="20">
        <v>14</v>
      </c>
      <c r="R1" s="20">
        <v>15</v>
      </c>
    </row>
    <row r="2" spans="1:19" x14ac:dyDescent="0.3">
      <c r="A2" s="19" t="s">
        <v>25</v>
      </c>
      <c r="C2" s="22">
        <f>+'Colec Guacamayo'!B6</f>
        <v>2022</v>
      </c>
      <c r="D2" s="22">
        <f>+C2+1</f>
        <v>2023</v>
      </c>
      <c r="E2" s="22">
        <f t="shared" ref="E2:R2" si="0">+D2+1</f>
        <v>2024</v>
      </c>
      <c r="F2" s="22">
        <f t="shared" si="0"/>
        <v>2025</v>
      </c>
      <c r="G2" s="22">
        <f t="shared" si="0"/>
        <v>2026</v>
      </c>
      <c r="H2" s="22">
        <f t="shared" si="0"/>
        <v>2027</v>
      </c>
      <c r="I2" s="22">
        <f t="shared" si="0"/>
        <v>2028</v>
      </c>
      <c r="J2" s="22">
        <f t="shared" si="0"/>
        <v>2029</v>
      </c>
      <c r="K2" s="22">
        <f t="shared" si="0"/>
        <v>2030</v>
      </c>
      <c r="L2" s="22">
        <f t="shared" si="0"/>
        <v>2031</v>
      </c>
      <c r="M2" s="22">
        <f t="shared" si="0"/>
        <v>2032</v>
      </c>
      <c r="N2" s="22">
        <f t="shared" si="0"/>
        <v>2033</v>
      </c>
      <c r="O2" s="22">
        <f t="shared" si="0"/>
        <v>2034</v>
      </c>
      <c r="P2" s="22">
        <f t="shared" si="0"/>
        <v>2035</v>
      </c>
      <c r="Q2" s="22">
        <f t="shared" si="0"/>
        <v>2036</v>
      </c>
      <c r="R2" s="22">
        <f t="shared" si="0"/>
        <v>2037</v>
      </c>
    </row>
    <row r="3" spans="1:19" x14ac:dyDescent="0.3">
      <c r="A3" s="19"/>
      <c r="B3" s="23" t="s">
        <v>26</v>
      </c>
      <c r="C3" s="23" t="s">
        <v>27</v>
      </c>
      <c r="D3" s="23" t="s">
        <v>27</v>
      </c>
      <c r="E3" s="23" t="s">
        <v>27</v>
      </c>
      <c r="F3" s="23" t="s">
        <v>27</v>
      </c>
      <c r="G3" s="23" t="s">
        <v>27</v>
      </c>
      <c r="H3" s="23" t="s">
        <v>27</v>
      </c>
      <c r="I3" s="23" t="s">
        <v>27</v>
      </c>
      <c r="J3" s="23" t="s">
        <v>27</v>
      </c>
      <c r="K3" s="23" t="s">
        <v>27</v>
      </c>
      <c r="L3" s="23" t="s">
        <v>27</v>
      </c>
      <c r="M3" s="23" t="s">
        <v>27</v>
      </c>
      <c r="N3" s="23" t="s">
        <v>27</v>
      </c>
      <c r="O3" s="23" t="s">
        <v>27</v>
      </c>
      <c r="P3" s="23" t="s">
        <v>27</v>
      </c>
      <c r="Q3" s="23" t="s">
        <v>27</v>
      </c>
      <c r="R3" s="23" t="s">
        <v>27</v>
      </c>
    </row>
    <row r="4" spans="1:19" x14ac:dyDescent="0.3">
      <c r="B4" s="24" t="s">
        <v>8</v>
      </c>
      <c r="C4" s="24" t="s">
        <v>8</v>
      </c>
      <c r="D4" s="24" t="s">
        <v>8</v>
      </c>
      <c r="E4" s="24" t="s">
        <v>8</v>
      </c>
      <c r="F4" s="24" t="s">
        <v>8</v>
      </c>
      <c r="G4" s="24" t="s">
        <v>8</v>
      </c>
      <c r="H4" s="24" t="s">
        <v>8</v>
      </c>
      <c r="I4" s="24" t="s">
        <v>8</v>
      </c>
      <c r="J4" s="24" t="s">
        <v>8</v>
      </c>
      <c r="K4" s="24" t="s">
        <v>8</v>
      </c>
      <c r="L4" s="24" t="s">
        <v>8</v>
      </c>
      <c r="M4" s="24" t="s">
        <v>8</v>
      </c>
      <c r="N4" s="24" t="s">
        <v>8</v>
      </c>
      <c r="O4" s="24" t="s">
        <v>8</v>
      </c>
      <c r="P4" s="24" t="s">
        <v>8</v>
      </c>
      <c r="Q4" s="24" t="s">
        <v>8</v>
      </c>
      <c r="R4" s="24" t="s">
        <v>8</v>
      </c>
    </row>
    <row r="5" spans="1:19" x14ac:dyDescent="0.3">
      <c r="A5" s="25" t="str">
        <f>+[17]Resumen!A5</f>
        <v>Verificación Colector Bosque Sur y Guacamayo</v>
      </c>
      <c r="B5" s="26">
        <f>+[17]Resumen!E5</f>
        <v>641.66</v>
      </c>
      <c r="C5" s="26">
        <f>+[17]Resumen!I5</f>
        <v>0</v>
      </c>
      <c r="D5" s="26">
        <f>+[17]Resumen!J5</f>
        <v>0</v>
      </c>
      <c r="E5" s="26">
        <f>+[17]Resumen!K5</f>
        <v>0</v>
      </c>
      <c r="F5" s="26">
        <f>+[17]Resumen!L5</f>
        <v>0</v>
      </c>
      <c r="G5" s="26">
        <f>+[17]Resumen!M5</f>
        <v>0</v>
      </c>
      <c r="H5" s="26">
        <f>+[17]Resumen!N5</f>
        <v>0</v>
      </c>
      <c r="I5" s="26">
        <f>+[17]Resumen!O5</f>
        <v>0</v>
      </c>
      <c r="J5" s="26">
        <f>+[17]Resumen!P5</f>
        <v>0</v>
      </c>
      <c r="K5" s="26">
        <f>+[17]Resumen!Q5</f>
        <v>0</v>
      </c>
      <c r="L5" s="26">
        <f>+[17]Resumen!R5</f>
        <v>0</v>
      </c>
      <c r="M5" s="26">
        <f>+[17]Resumen!S5</f>
        <v>0</v>
      </c>
      <c r="N5" s="26">
        <f>+[17]Resumen!T5</f>
        <v>0</v>
      </c>
      <c r="O5" s="26">
        <f>+[17]Resumen!U5</f>
        <v>0</v>
      </c>
      <c r="P5" s="26">
        <f>+[17]Resumen!V5</f>
        <v>0</v>
      </c>
      <c r="Q5" s="26">
        <f>+[17]Resumen!W5</f>
        <v>0</v>
      </c>
      <c r="R5" s="26">
        <f>+[17]Resumen!X5</f>
        <v>0</v>
      </c>
    </row>
    <row r="6" spans="1:19" x14ac:dyDescent="0.3">
      <c r="A6" s="25" t="str">
        <f>+[17]Resumen!A6</f>
        <v>Verificación Colector Balmaceda</v>
      </c>
      <c r="B6" s="27">
        <f>+[17]Resumen!E6</f>
        <v>1259.8400000000001</v>
      </c>
      <c r="C6" s="27">
        <f>+[17]Resumen!I6</f>
        <v>0</v>
      </c>
      <c r="D6" s="27">
        <f>+[17]Resumen!J6</f>
        <v>0</v>
      </c>
      <c r="E6" s="27">
        <f>+[17]Resumen!K6</f>
        <v>0</v>
      </c>
      <c r="F6" s="26">
        <f>+[17]Resumen!L6</f>
        <v>0</v>
      </c>
      <c r="G6" s="27">
        <f>+[17]Resumen!M6</f>
        <v>0</v>
      </c>
      <c r="H6" s="27">
        <f>+[17]Resumen!N6</f>
        <v>125.48</v>
      </c>
      <c r="I6" s="27">
        <f>+[17]Resumen!O6</f>
        <v>125.48</v>
      </c>
      <c r="J6" s="28">
        <f>+[17]Resumen!P6</f>
        <v>125.48</v>
      </c>
      <c r="K6" s="28">
        <f>+[17]Resumen!Q6</f>
        <v>125.48</v>
      </c>
      <c r="L6" s="28">
        <f>+[17]Resumen!R6</f>
        <v>125.48</v>
      </c>
      <c r="M6" s="28">
        <f>+[17]Resumen!S6</f>
        <v>125.48</v>
      </c>
      <c r="N6" s="28">
        <f>+[17]Resumen!T6</f>
        <v>125.48</v>
      </c>
      <c r="O6" s="28">
        <f>+[17]Resumen!U6</f>
        <v>125.48</v>
      </c>
      <c r="P6" s="28">
        <f>+[17]Resumen!V6</f>
        <v>125.48</v>
      </c>
      <c r="Q6" s="28">
        <f>+[17]Resumen!W6</f>
        <v>125.48</v>
      </c>
      <c r="R6" s="28">
        <f>+[17]Resumen!X6</f>
        <v>125.48</v>
      </c>
    </row>
    <row r="7" spans="1:19" x14ac:dyDescent="0.3">
      <c r="A7" s="38" t="str">
        <f>+[17]Resumen!A7</f>
        <v>Verificación Colector Ecuador I y Ecuador II</v>
      </c>
      <c r="B7" s="37">
        <f>+[17]Resumen!E7</f>
        <v>881.65000000000009</v>
      </c>
      <c r="C7" s="27">
        <f>+[17]Resumen!I7</f>
        <v>0</v>
      </c>
      <c r="D7" s="27">
        <f>+[17]Resumen!J7</f>
        <v>0</v>
      </c>
      <c r="E7" s="27">
        <f>+[17]Resumen!K7</f>
        <v>0</v>
      </c>
      <c r="F7" s="26">
        <f>+[17]Resumen!L7</f>
        <v>0</v>
      </c>
      <c r="G7" s="27">
        <f>+[17]Resumen!M7</f>
        <v>0</v>
      </c>
      <c r="H7" s="27">
        <f>+[17]Resumen!N7</f>
        <v>0</v>
      </c>
      <c r="I7" s="27">
        <f>+[17]Resumen!O7</f>
        <v>0</v>
      </c>
      <c r="J7" s="27">
        <f>+[17]Resumen!P7</f>
        <v>0</v>
      </c>
      <c r="K7" s="27">
        <f>+[17]Resumen!Q7</f>
        <v>0</v>
      </c>
      <c r="L7" s="27">
        <f>+[17]Resumen!R7</f>
        <v>0</v>
      </c>
      <c r="M7" s="27">
        <f>+[17]Resumen!S7</f>
        <v>0</v>
      </c>
      <c r="N7" s="27">
        <f>+[17]Resumen!T7</f>
        <v>0</v>
      </c>
      <c r="O7" s="27">
        <f>+[17]Resumen!U7</f>
        <v>0</v>
      </c>
      <c r="P7" s="27">
        <f>+[17]Resumen!V7</f>
        <v>0</v>
      </c>
      <c r="Q7" s="27">
        <f>+[17]Resumen!W7</f>
        <v>0</v>
      </c>
      <c r="R7" s="27">
        <f>+[17]Resumen!X7</f>
        <v>0</v>
      </c>
      <c r="S7" s="29" t="s">
        <v>70</v>
      </c>
    </row>
    <row r="8" spans="1:19" x14ac:dyDescent="0.3">
      <c r="A8" s="25" t="str">
        <f>+[17]Resumen!A8</f>
        <v>Verificación Colector Simpson</v>
      </c>
      <c r="B8" s="27">
        <f>+[17]Resumen!E8</f>
        <v>923.3900000000001</v>
      </c>
      <c r="C8" s="27">
        <f>+[17]Resumen!I8</f>
        <v>0</v>
      </c>
      <c r="D8" s="27">
        <f>+[17]Resumen!J8</f>
        <v>0</v>
      </c>
      <c r="E8" s="27">
        <f>+[17]Resumen!K8</f>
        <v>0</v>
      </c>
      <c r="F8" s="26">
        <f>+[17]Resumen!L8</f>
        <v>0</v>
      </c>
      <c r="G8" s="27">
        <f>+[17]Resumen!M8</f>
        <v>0</v>
      </c>
      <c r="H8" s="27">
        <f>+[17]Resumen!N8</f>
        <v>0</v>
      </c>
      <c r="I8" s="27">
        <f>+[17]Resumen!O8</f>
        <v>0</v>
      </c>
      <c r="J8" s="27">
        <f>+[17]Resumen!P8</f>
        <v>0</v>
      </c>
      <c r="K8" s="27">
        <f>+[17]Resumen!Q8</f>
        <v>0</v>
      </c>
      <c r="L8" s="27">
        <f>+[17]Resumen!R8</f>
        <v>0</v>
      </c>
      <c r="M8" s="27">
        <f>+[17]Resumen!S8</f>
        <v>0</v>
      </c>
      <c r="N8" s="27">
        <f>+[17]Resumen!T8</f>
        <v>0</v>
      </c>
      <c r="O8" s="27">
        <f>+[17]Resumen!U8</f>
        <v>0</v>
      </c>
      <c r="P8" s="27">
        <f>+[17]Resumen!V8</f>
        <v>0</v>
      </c>
      <c r="Q8" s="27">
        <f>+[17]Resumen!W8</f>
        <v>0</v>
      </c>
      <c r="R8" s="27">
        <f>+[17]Resumen!X8</f>
        <v>0</v>
      </c>
    </row>
    <row r="9" spans="1:19" x14ac:dyDescent="0.3">
      <c r="A9" s="25" t="str">
        <f>+[17]Resumen!A9</f>
        <v>Verificación Colector Bueras - Simpson</v>
      </c>
      <c r="B9" s="27">
        <f>+[17]Resumen!E9</f>
        <v>1586.6799999999998</v>
      </c>
      <c r="C9" s="27">
        <f>+[17]Resumen!I9</f>
        <v>0</v>
      </c>
      <c r="D9" s="27">
        <f>+[17]Resumen!J9</f>
        <v>0</v>
      </c>
      <c r="E9" s="27">
        <f>+[17]Resumen!K9</f>
        <v>0</v>
      </c>
      <c r="F9" s="26">
        <f>+[17]Resumen!L9</f>
        <v>0</v>
      </c>
      <c r="G9" s="27">
        <f>+[17]Resumen!M9</f>
        <v>0</v>
      </c>
      <c r="H9" s="27">
        <f>+[17]Resumen!N9</f>
        <v>0</v>
      </c>
      <c r="I9" s="27">
        <f>+[17]Resumen!O9</f>
        <v>0</v>
      </c>
      <c r="J9" s="27">
        <f>+[17]Resumen!P9</f>
        <v>0</v>
      </c>
      <c r="K9" s="27">
        <f>+[17]Resumen!Q9</f>
        <v>0</v>
      </c>
      <c r="L9" s="27">
        <f>+[17]Resumen!R9</f>
        <v>0</v>
      </c>
      <c r="M9" s="27">
        <f>+[17]Resumen!S9</f>
        <v>0</v>
      </c>
      <c r="N9" s="27">
        <f>+[17]Resumen!T9</f>
        <v>0</v>
      </c>
      <c r="O9" s="27">
        <f>+[17]Resumen!U9</f>
        <v>0</v>
      </c>
      <c r="P9" s="27">
        <f>+[17]Resumen!V9</f>
        <v>0</v>
      </c>
      <c r="Q9" s="27">
        <f>+[17]Resumen!W9</f>
        <v>0</v>
      </c>
      <c r="R9" s="27">
        <f>+[17]Resumen!X9</f>
        <v>0</v>
      </c>
    </row>
    <row r="10" spans="1:19" x14ac:dyDescent="0.3">
      <c r="A10" s="25" t="str">
        <f>+[17]Resumen!A10</f>
        <v>Verificación Colector Solis</v>
      </c>
      <c r="B10" s="27">
        <f>+[17]Resumen!E10</f>
        <v>1680.5699999999997</v>
      </c>
      <c r="C10" s="27">
        <f>+[17]Resumen!I10</f>
        <v>0</v>
      </c>
      <c r="D10" s="27">
        <f>+[17]Resumen!J10</f>
        <v>0</v>
      </c>
      <c r="E10" s="27">
        <f>+[17]Resumen!K10</f>
        <v>0</v>
      </c>
      <c r="F10" s="26">
        <f>+[17]Resumen!L10</f>
        <v>0</v>
      </c>
      <c r="G10" s="27">
        <f>+[17]Resumen!M10</f>
        <v>0</v>
      </c>
      <c r="H10" s="27">
        <f>+[17]Resumen!N10</f>
        <v>0</v>
      </c>
      <c r="I10" s="27">
        <f>+[17]Resumen!O10</f>
        <v>0</v>
      </c>
      <c r="J10" s="27">
        <f>+[17]Resumen!P10</f>
        <v>0</v>
      </c>
      <c r="K10" s="27">
        <f>+[17]Resumen!Q10</f>
        <v>0</v>
      </c>
      <c r="L10" s="27">
        <f>+[17]Resumen!R10</f>
        <v>0</v>
      </c>
      <c r="M10" s="27">
        <f>+[17]Resumen!S10</f>
        <v>0</v>
      </c>
      <c r="N10" s="27">
        <f>+[17]Resumen!T10</f>
        <v>0</v>
      </c>
      <c r="O10" s="27">
        <f>+[17]Resumen!U10</f>
        <v>0</v>
      </c>
      <c r="P10" s="27">
        <f>+[17]Resumen!V10</f>
        <v>0</v>
      </c>
      <c r="Q10" s="27">
        <f>+[17]Resumen!W10</f>
        <v>0</v>
      </c>
      <c r="R10" s="27">
        <f>+[17]Resumen!X10</f>
        <v>0</v>
      </c>
    </row>
    <row r="11" spans="1:19" x14ac:dyDescent="0.3">
      <c r="A11" s="25" t="str">
        <f>+[17]Resumen!A11</f>
        <v>Verificación Colector El Romance y Pedro Aguirre Cerda Norte</v>
      </c>
      <c r="B11" s="27">
        <f>+[17]Resumen!E11</f>
        <v>595.61</v>
      </c>
      <c r="C11" s="27">
        <f>+[17]Resumen!I11</f>
        <v>0</v>
      </c>
      <c r="D11" s="27">
        <f>+[17]Resumen!J11</f>
        <v>0</v>
      </c>
      <c r="E11" s="27">
        <f>+[17]Resumen!K11</f>
        <v>0</v>
      </c>
      <c r="F11" s="26">
        <f>+[17]Resumen!L11</f>
        <v>0</v>
      </c>
      <c r="G11" s="27">
        <f>+[17]Resumen!M11</f>
        <v>0</v>
      </c>
      <c r="H11" s="27">
        <f>+[17]Resumen!N11</f>
        <v>0</v>
      </c>
      <c r="I11" s="27">
        <f>+[17]Resumen!O11</f>
        <v>0</v>
      </c>
      <c r="J11" s="27">
        <f>+[17]Resumen!P11</f>
        <v>0</v>
      </c>
      <c r="K11" s="27">
        <f>+[17]Resumen!Q11</f>
        <v>0</v>
      </c>
      <c r="L11" s="27">
        <f>+[17]Resumen!R11</f>
        <v>0</v>
      </c>
      <c r="M11" s="27">
        <f>+[17]Resumen!S11</f>
        <v>0</v>
      </c>
      <c r="N11" s="27">
        <f>+[17]Resumen!T11</f>
        <v>0</v>
      </c>
      <c r="O11" s="27">
        <f>+[17]Resumen!U11</f>
        <v>0</v>
      </c>
      <c r="P11" s="27">
        <f>+[17]Resumen!V11</f>
        <v>0</v>
      </c>
      <c r="Q11" s="27">
        <f>+[17]Resumen!W11</f>
        <v>0</v>
      </c>
      <c r="R11" s="27">
        <f>+[17]Resumen!X11</f>
        <v>0</v>
      </c>
    </row>
    <row r="12" spans="1:19" x14ac:dyDescent="0.3">
      <c r="A12" s="38" t="str">
        <f>+[17]Resumen!A12</f>
        <v>Verificación Colector Pedro Aguirre Cerda I</v>
      </c>
      <c r="B12" s="37">
        <f>+[17]Resumen!E12</f>
        <v>1034.21</v>
      </c>
      <c r="C12" s="27">
        <f>+[17]Resumen!I12</f>
        <v>0</v>
      </c>
      <c r="D12" s="27">
        <f>+[17]Resumen!J12</f>
        <v>0</v>
      </c>
      <c r="E12" s="27">
        <f>+[17]Resumen!K12</f>
        <v>0</v>
      </c>
      <c r="F12" s="26">
        <f>+[17]Resumen!L12</f>
        <v>0</v>
      </c>
      <c r="G12" s="27">
        <f>+[17]Resumen!M12</f>
        <v>0</v>
      </c>
      <c r="H12" s="27">
        <f>+[17]Resumen!N12</f>
        <v>0</v>
      </c>
      <c r="I12" s="27">
        <f>+[17]Resumen!O12</f>
        <v>0</v>
      </c>
      <c r="J12" s="27">
        <f>+[17]Resumen!P12</f>
        <v>0</v>
      </c>
      <c r="K12" s="27">
        <f>+[17]Resumen!Q12</f>
        <v>0</v>
      </c>
      <c r="L12" s="27">
        <f>+[17]Resumen!R12</f>
        <v>0</v>
      </c>
      <c r="M12" s="27">
        <f>+[17]Resumen!S12</f>
        <v>0</v>
      </c>
      <c r="N12" s="27">
        <f>+[17]Resumen!T12</f>
        <v>0</v>
      </c>
      <c r="O12" s="27">
        <f>+[17]Resumen!U12</f>
        <v>0</v>
      </c>
      <c r="P12" s="27">
        <f>+[17]Resumen!V12</f>
        <v>0</v>
      </c>
      <c r="Q12" s="27">
        <f>+[17]Resumen!W12</f>
        <v>0</v>
      </c>
      <c r="R12" s="27">
        <f>+[17]Resumen!X12</f>
        <v>0</v>
      </c>
      <c r="S12" s="29" t="s">
        <v>70</v>
      </c>
    </row>
    <row r="13" spans="1:19" x14ac:dyDescent="0.3">
      <c r="A13" s="38" t="str">
        <f>+[17]Resumen!A13</f>
        <v>Verificación Colector España</v>
      </c>
      <c r="B13" s="37">
        <f>+[17]Resumen!E13</f>
        <v>671.38300000000004</v>
      </c>
      <c r="C13" s="27">
        <f>+[17]Resumen!I13</f>
        <v>0</v>
      </c>
      <c r="D13" s="27">
        <f>+[17]Resumen!J13</f>
        <v>0</v>
      </c>
      <c r="E13" s="27">
        <f>+[17]Resumen!K13</f>
        <v>0</v>
      </c>
      <c r="F13" s="26">
        <f>+[17]Resumen!L13</f>
        <v>0</v>
      </c>
      <c r="G13" s="27">
        <f>+[17]Resumen!M13</f>
        <v>0</v>
      </c>
      <c r="H13" s="27">
        <f>+[17]Resumen!N13</f>
        <v>0</v>
      </c>
      <c r="I13" s="27">
        <f>+[17]Resumen!O13</f>
        <v>0</v>
      </c>
      <c r="J13" s="27">
        <f>+[17]Resumen!P13</f>
        <v>0</v>
      </c>
      <c r="K13" s="27">
        <f>+[17]Resumen!Q13</f>
        <v>0</v>
      </c>
      <c r="L13" s="27">
        <f>+[17]Resumen!R13</f>
        <v>0</v>
      </c>
      <c r="M13" s="27">
        <f>+[17]Resumen!S13</f>
        <v>0</v>
      </c>
      <c r="N13" s="27">
        <f>+[17]Resumen!T13</f>
        <v>0</v>
      </c>
      <c r="O13" s="27">
        <f>+[17]Resumen!U13</f>
        <v>0</v>
      </c>
      <c r="P13" s="27">
        <f>+[17]Resumen!V13</f>
        <v>0</v>
      </c>
      <c r="Q13" s="27">
        <f>+[17]Resumen!W13</f>
        <v>0</v>
      </c>
      <c r="R13" s="27">
        <f>+[17]Resumen!X13</f>
        <v>0</v>
      </c>
      <c r="S13" s="29" t="s">
        <v>70</v>
      </c>
    </row>
    <row r="14" spans="1:19" x14ac:dyDescent="0.3">
      <c r="A14" s="38" t="str">
        <f>+[17]Resumen!A14</f>
        <v>Verificación Colector Pedro Aguirre Cerda II, III y IV</v>
      </c>
      <c r="B14" s="37">
        <f>+[17]Resumen!E14</f>
        <v>954.25000000000011</v>
      </c>
      <c r="C14" s="27">
        <f>+[17]Resumen!I14</f>
        <v>0</v>
      </c>
      <c r="D14" s="27">
        <f>+[17]Resumen!J14</f>
        <v>0</v>
      </c>
      <c r="E14" s="27">
        <f>+[17]Resumen!K14</f>
        <v>0</v>
      </c>
      <c r="F14" s="26">
        <f>+[17]Resumen!L14</f>
        <v>0</v>
      </c>
      <c r="G14" s="27">
        <f>+[17]Resumen!M14</f>
        <v>0</v>
      </c>
      <c r="H14" s="27">
        <f>+[17]Resumen!N14</f>
        <v>0</v>
      </c>
      <c r="I14" s="27">
        <f>+[17]Resumen!O14</f>
        <v>0</v>
      </c>
      <c r="J14" s="27">
        <f>+[17]Resumen!P14</f>
        <v>0</v>
      </c>
      <c r="K14" s="27">
        <f>+[17]Resumen!Q14</f>
        <v>0</v>
      </c>
      <c r="L14" s="27">
        <f>+[17]Resumen!R14</f>
        <v>0</v>
      </c>
      <c r="M14" s="27">
        <f>+[17]Resumen!S14</f>
        <v>0</v>
      </c>
      <c r="N14" s="27">
        <f>+[17]Resumen!T14</f>
        <v>0</v>
      </c>
      <c r="O14" s="27">
        <f>+[17]Resumen!U14</f>
        <v>0</v>
      </c>
      <c r="P14" s="27">
        <f>+[17]Resumen!V14</f>
        <v>0</v>
      </c>
      <c r="Q14" s="27">
        <f>+[17]Resumen!W14</f>
        <v>0</v>
      </c>
      <c r="R14" s="27">
        <f>+[17]Resumen!X14</f>
        <v>0</v>
      </c>
      <c r="S14" s="29" t="s">
        <v>70</v>
      </c>
    </row>
    <row r="15" spans="1:19" x14ac:dyDescent="0.3">
      <c r="A15" s="38" t="str">
        <f>+[17]Resumen!A15</f>
        <v>Verificación Colector Montt - Baquedano</v>
      </c>
      <c r="B15" s="37">
        <f>+[17]Resumen!E15</f>
        <v>623.46</v>
      </c>
      <c r="C15" s="27">
        <f>+[17]Resumen!I15</f>
        <v>0</v>
      </c>
      <c r="D15" s="27">
        <f>+[17]Resumen!J15</f>
        <v>0</v>
      </c>
      <c r="E15" s="27">
        <f>+[17]Resumen!K15</f>
        <v>0</v>
      </c>
      <c r="F15" s="26">
        <f>+[17]Resumen!L15</f>
        <v>0</v>
      </c>
      <c r="G15" s="27">
        <f>+[17]Resumen!M15</f>
        <v>0</v>
      </c>
      <c r="H15" s="27">
        <f>+[17]Resumen!N15</f>
        <v>0</v>
      </c>
      <c r="I15" s="27">
        <f>+[17]Resumen!O15</f>
        <v>0</v>
      </c>
      <c r="J15" s="27">
        <f>+[17]Resumen!P15</f>
        <v>0</v>
      </c>
      <c r="K15" s="27">
        <f>+[17]Resumen!Q15</f>
        <v>0</v>
      </c>
      <c r="L15" s="27">
        <f>+[17]Resumen!R15</f>
        <v>593.63</v>
      </c>
      <c r="M15" s="27">
        <f>+[17]Resumen!S15</f>
        <v>593.63</v>
      </c>
      <c r="N15" s="27">
        <f>+[17]Resumen!T15</f>
        <v>593.63</v>
      </c>
      <c r="O15" s="27">
        <f>+[17]Resumen!U15</f>
        <v>593.63</v>
      </c>
      <c r="P15" s="37">
        <f>+[17]Resumen!V15</f>
        <v>593.63</v>
      </c>
      <c r="Q15" s="37">
        <f>+[17]Resumen!W15</f>
        <v>593.63</v>
      </c>
      <c r="R15" s="37">
        <f>+[17]Resumen!X15</f>
        <v>593.63</v>
      </c>
      <c r="S15" s="29" t="s">
        <v>70</v>
      </c>
    </row>
    <row r="16" spans="1:19" x14ac:dyDescent="0.3">
      <c r="A16" s="25" t="str">
        <f>+[17]Resumen!A16</f>
        <v>Verificación Colector Baquedano</v>
      </c>
      <c r="B16" s="27">
        <f>+[17]Resumen!E16</f>
        <v>1289.8899999999999</v>
      </c>
      <c r="C16" s="27">
        <f>+[17]Resumen!I16</f>
        <v>0</v>
      </c>
      <c r="D16" s="27">
        <f>+[17]Resumen!J16</f>
        <v>0</v>
      </c>
      <c r="E16" s="27">
        <f>+[17]Resumen!K16</f>
        <v>0</v>
      </c>
      <c r="F16" s="26">
        <f>+[17]Resumen!L16</f>
        <v>0</v>
      </c>
      <c r="G16" s="27">
        <f>+[17]Resumen!M16</f>
        <v>0</v>
      </c>
      <c r="H16" s="27">
        <f>+[17]Resumen!N16</f>
        <v>0</v>
      </c>
      <c r="I16" s="27">
        <f>+[17]Resumen!O16</f>
        <v>0</v>
      </c>
      <c r="J16" s="27">
        <f>+[17]Resumen!P16</f>
        <v>208.67</v>
      </c>
      <c r="K16" s="27">
        <f>+[17]Resumen!Q16</f>
        <v>448.12</v>
      </c>
      <c r="L16" s="27">
        <f>+[17]Resumen!R16</f>
        <v>448.12</v>
      </c>
      <c r="M16" s="28">
        <f>+[17]Resumen!S16</f>
        <v>448.12</v>
      </c>
      <c r="N16" s="28">
        <f>+[17]Resumen!T16</f>
        <v>448.12</v>
      </c>
      <c r="O16" s="28">
        <f>+[17]Resumen!U16</f>
        <v>448.12</v>
      </c>
      <c r="P16" s="28">
        <f>+[17]Resumen!V16</f>
        <v>448.12</v>
      </c>
      <c r="Q16" s="28">
        <f>+[17]Resumen!W16</f>
        <v>448.12</v>
      </c>
      <c r="R16" s="28">
        <f>+[17]Resumen!X16</f>
        <v>448.12</v>
      </c>
    </row>
    <row r="17" spans="1:20" x14ac:dyDescent="0.3">
      <c r="A17" s="38" t="str">
        <f>+[17]Resumen!A17</f>
        <v>Verificación Colector Escobar Phillipi I y Escobar Phillipi II</v>
      </c>
      <c r="B17" s="37">
        <f>+[17]Resumen!E17</f>
        <v>942.85</v>
      </c>
      <c r="C17" s="27">
        <f>+[17]Resumen!I17</f>
        <v>0</v>
      </c>
      <c r="D17" s="27">
        <f>+[17]Resumen!J17</f>
        <v>0</v>
      </c>
      <c r="E17" s="27">
        <f>+[17]Resumen!K17</f>
        <v>0</v>
      </c>
      <c r="F17" s="26">
        <f>+[17]Resumen!L17</f>
        <v>0</v>
      </c>
      <c r="G17" s="27">
        <f>+[17]Resumen!M17</f>
        <v>0</v>
      </c>
      <c r="H17" s="27">
        <f>+[17]Resumen!N17</f>
        <v>0</v>
      </c>
      <c r="I17" s="27">
        <f>+[17]Resumen!O17</f>
        <v>0</v>
      </c>
      <c r="J17" s="27">
        <f>+[17]Resumen!P17</f>
        <v>0</v>
      </c>
      <c r="K17" s="27">
        <f>+[17]Resumen!Q17</f>
        <v>0</v>
      </c>
      <c r="L17" s="27">
        <f>+[17]Resumen!R17</f>
        <v>0</v>
      </c>
      <c r="M17" s="27">
        <f>+[17]Resumen!S17</f>
        <v>0</v>
      </c>
      <c r="N17" s="27">
        <f>+[17]Resumen!T17</f>
        <v>0</v>
      </c>
      <c r="O17" s="27">
        <f>+[17]Resumen!U17</f>
        <v>0</v>
      </c>
      <c r="P17" s="27">
        <f>+[17]Resumen!V17</f>
        <v>0</v>
      </c>
      <c r="Q17" s="27">
        <f>+[17]Resumen!W17</f>
        <v>0</v>
      </c>
      <c r="R17" s="27">
        <f>+[17]Resumen!X17</f>
        <v>0</v>
      </c>
      <c r="S17" s="29" t="s">
        <v>70</v>
      </c>
    </row>
    <row r="18" spans="1:20" x14ac:dyDescent="0.3">
      <c r="A18" s="25" t="str">
        <f>+[17]Resumen!A18</f>
        <v>Verificación Colector Domeyko</v>
      </c>
      <c r="B18" s="27">
        <f>+[17]Resumen!E18</f>
        <v>394.13</v>
      </c>
      <c r="C18" s="27">
        <f>+[17]Resumen!I18</f>
        <v>0</v>
      </c>
      <c r="D18" s="27">
        <f>+[17]Resumen!J18</f>
        <v>0</v>
      </c>
      <c r="E18" s="27">
        <f>+[17]Resumen!K18</f>
        <v>0</v>
      </c>
      <c r="F18" s="26">
        <f>+[17]Resumen!L18</f>
        <v>0</v>
      </c>
      <c r="G18" s="27">
        <f>+[17]Resumen!M18</f>
        <v>0</v>
      </c>
      <c r="H18" s="27">
        <f>+[17]Resumen!N18</f>
        <v>0</v>
      </c>
      <c r="I18" s="27">
        <f>+[17]Resumen!O18</f>
        <v>0</v>
      </c>
      <c r="J18" s="27">
        <f>+[17]Resumen!P18</f>
        <v>0</v>
      </c>
      <c r="K18" s="27">
        <f>+[17]Resumen!Q18</f>
        <v>0</v>
      </c>
      <c r="L18" s="27">
        <f>+[17]Resumen!R18</f>
        <v>0</v>
      </c>
      <c r="M18" s="27">
        <f>+[17]Resumen!S18</f>
        <v>0</v>
      </c>
      <c r="N18" s="27">
        <f>+[17]Resumen!T18</f>
        <v>0</v>
      </c>
      <c r="O18" s="27">
        <f>+[17]Resumen!U18</f>
        <v>0</v>
      </c>
      <c r="P18" s="27">
        <f>+[17]Resumen!V18</f>
        <v>0</v>
      </c>
      <c r="Q18" s="27">
        <f>+[17]Resumen!W18</f>
        <v>0</v>
      </c>
      <c r="R18" s="27">
        <f>+[17]Resumen!X18</f>
        <v>0</v>
      </c>
    </row>
    <row r="19" spans="1:20" x14ac:dyDescent="0.3">
      <c r="A19" s="38" t="str">
        <f>+[17]Resumen!A19</f>
        <v>Verificación Colector Los Avellanos</v>
      </c>
      <c r="B19" s="37">
        <f>+[17]Resumen!E19</f>
        <v>791.16000000000008</v>
      </c>
      <c r="C19" s="27">
        <f>+[17]Resumen!I19</f>
        <v>0</v>
      </c>
      <c r="D19" s="27">
        <f>+[17]Resumen!J19</f>
        <v>0</v>
      </c>
      <c r="E19" s="27">
        <f>+[17]Resumen!K19</f>
        <v>0</v>
      </c>
      <c r="F19" s="26">
        <f>+[17]Resumen!L19</f>
        <v>0</v>
      </c>
      <c r="G19" s="27">
        <f>+[17]Resumen!M19</f>
        <v>0</v>
      </c>
      <c r="H19" s="27">
        <f>+[17]Resumen!N19</f>
        <v>0</v>
      </c>
      <c r="I19" s="27">
        <f>+[17]Resumen!O19</f>
        <v>0</v>
      </c>
      <c r="J19" s="27">
        <f>+[17]Resumen!P19</f>
        <v>0</v>
      </c>
      <c r="K19" s="27">
        <f>+[17]Resumen!Q19</f>
        <v>0</v>
      </c>
      <c r="L19" s="27">
        <f>+[17]Resumen!R19</f>
        <v>0</v>
      </c>
      <c r="M19" s="27">
        <f>+[17]Resumen!S19</f>
        <v>0</v>
      </c>
      <c r="N19" s="27">
        <f>+[17]Resumen!T19</f>
        <v>0</v>
      </c>
      <c r="O19" s="27">
        <f>+[17]Resumen!U19</f>
        <v>0</v>
      </c>
      <c r="P19" s="27">
        <f>+[17]Resumen!V19</f>
        <v>0</v>
      </c>
      <c r="Q19" s="27">
        <f>+[17]Resumen!W19</f>
        <v>0</v>
      </c>
      <c r="R19" s="27">
        <f>+[17]Resumen!X19</f>
        <v>0</v>
      </c>
      <c r="S19" s="29" t="s">
        <v>70</v>
      </c>
    </row>
    <row r="20" spans="1:20" x14ac:dyDescent="0.3">
      <c r="A20" s="25" t="str">
        <f>+[17]Resumen!A20</f>
        <v>Verificación Colector Los Pelues I y Los Pelues II</v>
      </c>
      <c r="B20" s="27">
        <f>+[17]Resumen!E20</f>
        <v>334.24</v>
      </c>
      <c r="C20" s="27">
        <f>+[17]Resumen!I20</f>
        <v>0</v>
      </c>
      <c r="D20" s="27">
        <f>+[17]Resumen!J20</f>
        <v>0</v>
      </c>
      <c r="E20" s="27">
        <f>+[17]Resumen!K20</f>
        <v>0</v>
      </c>
      <c r="F20" s="26">
        <f>+[17]Resumen!L20</f>
        <v>0</v>
      </c>
      <c r="G20" s="27">
        <f>+[17]Resumen!M20</f>
        <v>0</v>
      </c>
      <c r="H20" s="27">
        <f>+[17]Resumen!N20</f>
        <v>0</v>
      </c>
      <c r="I20" s="27">
        <f>+[17]Resumen!O20</f>
        <v>0</v>
      </c>
      <c r="J20" s="27">
        <f>+[17]Resumen!P20</f>
        <v>0</v>
      </c>
      <c r="K20" s="27">
        <f>+[17]Resumen!Q20</f>
        <v>0</v>
      </c>
      <c r="L20" s="27">
        <f>+[17]Resumen!R20</f>
        <v>0</v>
      </c>
      <c r="M20" s="27">
        <f>+[17]Resumen!S20</f>
        <v>0</v>
      </c>
      <c r="N20" s="27">
        <f>+[17]Resumen!T20</f>
        <v>0</v>
      </c>
      <c r="O20" s="27">
        <f>+[17]Resumen!U20</f>
        <v>0</v>
      </c>
      <c r="P20" s="27">
        <f>+[17]Resumen!V20</f>
        <v>0</v>
      </c>
      <c r="Q20" s="27">
        <f>+[17]Resumen!W20</f>
        <v>0</v>
      </c>
      <c r="R20" s="27">
        <f>+[17]Resumen!X20</f>
        <v>0</v>
      </c>
    </row>
    <row r="21" spans="1:20" x14ac:dyDescent="0.3">
      <c r="A21" s="25" t="str">
        <f>+[17]Resumen!A21</f>
        <v>Verificación Colector Janequeo I, II, III y IV</v>
      </c>
      <c r="B21" s="27">
        <f>+[17]Resumen!E21</f>
        <v>1233.9599999999998</v>
      </c>
      <c r="C21" s="27">
        <f>+[17]Resumen!I21</f>
        <v>0</v>
      </c>
      <c r="D21" s="27">
        <f>+[17]Resumen!J21</f>
        <v>0</v>
      </c>
      <c r="E21" s="27">
        <f>+[17]Resumen!K21</f>
        <v>0</v>
      </c>
      <c r="F21" s="26">
        <f>+[17]Resumen!L21</f>
        <v>0</v>
      </c>
      <c r="G21" s="27">
        <f>+[17]Resumen!M21</f>
        <v>0</v>
      </c>
      <c r="H21" s="27">
        <f>+[17]Resumen!N21</f>
        <v>0</v>
      </c>
      <c r="I21" s="27">
        <f>+[17]Resumen!O21</f>
        <v>0</v>
      </c>
      <c r="J21" s="27">
        <f>+[17]Resumen!P21</f>
        <v>0</v>
      </c>
      <c r="K21" s="27">
        <f>+[17]Resumen!Q21</f>
        <v>0</v>
      </c>
      <c r="L21" s="27">
        <f>+[17]Resumen!R21</f>
        <v>0</v>
      </c>
      <c r="M21" s="27">
        <f>+[17]Resumen!S21</f>
        <v>0</v>
      </c>
      <c r="N21" s="27">
        <f>+[17]Resumen!T21</f>
        <v>0</v>
      </c>
      <c r="O21" s="27">
        <f>+[17]Resumen!U21</f>
        <v>0</v>
      </c>
      <c r="P21" s="27">
        <f>+[17]Resumen!V21</f>
        <v>0</v>
      </c>
      <c r="Q21" s="27">
        <f>+[17]Resumen!W21</f>
        <v>0</v>
      </c>
      <c r="R21" s="27">
        <f>+[17]Resumen!X21</f>
        <v>0</v>
      </c>
    </row>
    <row r="22" spans="1:20" x14ac:dyDescent="0.3">
      <c r="A22" s="25" t="str">
        <f>+[17]Resumen!A22</f>
        <v>Verificación Colector General Lagos I, II, III, IV y V</v>
      </c>
      <c r="B22" s="27">
        <f>+[17]Resumen!E22</f>
        <v>1898.97</v>
      </c>
      <c r="C22" s="27">
        <f>+[17]Resumen!I22</f>
        <v>0</v>
      </c>
      <c r="D22" s="27">
        <f>+[17]Resumen!J22</f>
        <v>0</v>
      </c>
      <c r="E22" s="27">
        <f>+[17]Resumen!K22</f>
        <v>0</v>
      </c>
      <c r="F22" s="26">
        <f>+[17]Resumen!L22</f>
        <v>0</v>
      </c>
      <c r="G22" s="27">
        <f>+[17]Resumen!M22</f>
        <v>0</v>
      </c>
      <c r="H22" s="27">
        <f>+[17]Resumen!N22</f>
        <v>0</v>
      </c>
      <c r="I22" s="27">
        <f>+[17]Resumen!O22</f>
        <v>675.53</v>
      </c>
      <c r="J22" s="27">
        <f>+[17]Resumen!P22</f>
        <v>675.53</v>
      </c>
      <c r="K22" s="27">
        <f>+[17]Resumen!Q22</f>
        <v>675.53</v>
      </c>
      <c r="L22" s="28">
        <f>+[17]Resumen!R22</f>
        <v>675.53</v>
      </c>
      <c r="M22" s="28">
        <f>+[17]Resumen!S22</f>
        <v>990</v>
      </c>
      <c r="N22" s="28">
        <f>+[17]Resumen!T22</f>
        <v>990</v>
      </c>
      <c r="O22" s="28">
        <f>+[17]Resumen!U22</f>
        <v>990</v>
      </c>
      <c r="P22" s="28">
        <f>+[17]Resumen!V22</f>
        <v>990</v>
      </c>
      <c r="Q22" s="28">
        <f>+[17]Resumen!W22</f>
        <v>990</v>
      </c>
      <c r="R22" s="28">
        <f>+[17]Resumen!X22</f>
        <v>990</v>
      </c>
    </row>
    <row r="23" spans="1:20" x14ac:dyDescent="0.3">
      <c r="A23" s="25" t="str">
        <f>+[17]Resumen!A23</f>
        <v>Verificación Colector Miraflores</v>
      </c>
      <c r="B23" s="27">
        <f>+[17]Resumen!E23</f>
        <v>332.93</v>
      </c>
      <c r="C23" s="27">
        <f>+[17]Resumen!I23</f>
        <v>0</v>
      </c>
      <c r="D23" s="27">
        <f>+[17]Resumen!J23</f>
        <v>0</v>
      </c>
      <c r="E23" s="27">
        <f>+[17]Resumen!K23</f>
        <v>0</v>
      </c>
      <c r="F23" s="26">
        <f>+[17]Resumen!L23</f>
        <v>0</v>
      </c>
      <c r="G23" s="27">
        <f>+[17]Resumen!M23</f>
        <v>0</v>
      </c>
      <c r="H23" s="27">
        <f>+[17]Resumen!N23</f>
        <v>0</v>
      </c>
      <c r="I23" s="27">
        <f>+[17]Resumen!O23</f>
        <v>0</v>
      </c>
      <c r="J23" s="27">
        <f>+[17]Resumen!P23</f>
        <v>0</v>
      </c>
      <c r="K23" s="27">
        <f>+[17]Resumen!Q23</f>
        <v>0</v>
      </c>
      <c r="L23" s="27">
        <f>+[17]Resumen!R23</f>
        <v>0</v>
      </c>
      <c r="M23" s="27">
        <f>+[17]Resumen!S23</f>
        <v>0</v>
      </c>
      <c r="N23" s="27">
        <f>+[17]Resumen!T23</f>
        <v>0</v>
      </c>
      <c r="O23" s="27">
        <f>+[17]Resumen!U23</f>
        <v>0</v>
      </c>
      <c r="P23" s="27">
        <f>+[17]Resumen!V23</f>
        <v>0</v>
      </c>
      <c r="Q23" s="27">
        <f>+[17]Resumen!W23</f>
        <v>0</v>
      </c>
      <c r="R23" s="27">
        <f>+[17]Resumen!X23</f>
        <v>0</v>
      </c>
      <c r="T23" s="30"/>
    </row>
    <row r="24" spans="1:20" x14ac:dyDescent="0.3">
      <c r="A24" s="25" t="str">
        <f>+[17]Resumen!A24</f>
        <v>Verificación Colector CUT</v>
      </c>
      <c r="B24" s="27">
        <f>+[17]Resumen!E24</f>
        <v>704.24099999999987</v>
      </c>
      <c r="C24" s="27">
        <f>+[17]Resumen!I24</f>
        <v>0</v>
      </c>
      <c r="D24" s="27">
        <f>+[17]Resumen!J24</f>
        <v>0</v>
      </c>
      <c r="E24" s="27">
        <f>+[17]Resumen!K24</f>
        <v>0</v>
      </c>
      <c r="F24" s="26">
        <f>+[17]Resumen!L24</f>
        <v>0</v>
      </c>
      <c r="G24" s="27">
        <f>+[17]Resumen!M24</f>
        <v>0</v>
      </c>
      <c r="H24" s="27">
        <f>+[17]Resumen!N24</f>
        <v>0</v>
      </c>
      <c r="I24" s="27">
        <f>+[17]Resumen!O24</f>
        <v>0</v>
      </c>
      <c r="J24" s="27">
        <f>+[17]Resumen!P24</f>
        <v>0</v>
      </c>
      <c r="K24" s="27">
        <f>+[17]Resumen!Q24</f>
        <v>0</v>
      </c>
      <c r="L24" s="27">
        <f>+[17]Resumen!R24</f>
        <v>0</v>
      </c>
      <c r="M24" s="27">
        <f>+[17]Resumen!S24</f>
        <v>0</v>
      </c>
      <c r="N24" s="27">
        <f>+[17]Resumen!T24</f>
        <v>0</v>
      </c>
      <c r="O24" s="27">
        <f>+[17]Resumen!U24</f>
        <v>0</v>
      </c>
      <c r="P24" s="27">
        <f>+[17]Resumen!V24</f>
        <v>0</v>
      </c>
      <c r="Q24" s="27">
        <f>+[17]Resumen!W24</f>
        <v>0</v>
      </c>
      <c r="R24" s="27">
        <f>+[17]Resumen!X24</f>
        <v>0</v>
      </c>
    </row>
    <row r="25" spans="1:20" x14ac:dyDescent="0.3">
      <c r="A25" s="25" t="str">
        <f>+[17]Resumen!A25</f>
        <v>Verificación Colector San Francisco</v>
      </c>
      <c r="B25" s="27">
        <f>+[17]Resumen!E25</f>
        <v>1024.3399999999997</v>
      </c>
      <c r="C25" s="27">
        <f>+[17]Resumen!I25</f>
        <v>0</v>
      </c>
      <c r="D25" s="27">
        <f>+[17]Resumen!J25</f>
        <v>0</v>
      </c>
      <c r="E25" s="27">
        <f>+[17]Resumen!K25</f>
        <v>0</v>
      </c>
      <c r="F25" s="26">
        <f>+[17]Resumen!L25</f>
        <v>0</v>
      </c>
      <c r="G25" s="27">
        <f>+[17]Resumen!M25</f>
        <v>0</v>
      </c>
      <c r="H25" s="27">
        <f>+[17]Resumen!N25</f>
        <v>0</v>
      </c>
      <c r="I25" s="27">
        <f>+[17]Resumen!O25</f>
        <v>0</v>
      </c>
      <c r="J25" s="27">
        <f>+[17]Resumen!P25</f>
        <v>0</v>
      </c>
      <c r="K25" s="27">
        <f>+[17]Resumen!Q25</f>
        <v>0</v>
      </c>
      <c r="L25" s="27">
        <f>+[17]Resumen!R25</f>
        <v>0</v>
      </c>
      <c r="M25" s="27">
        <f>+[17]Resumen!S25</f>
        <v>0</v>
      </c>
      <c r="N25" s="27">
        <f>+[17]Resumen!T25</f>
        <v>0</v>
      </c>
      <c r="O25" s="27">
        <f>+[17]Resumen!U25</f>
        <v>0</v>
      </c>
      <c r="P25" s="27">
        <f>+[17]Resumen!V25</f>
        <v>0</v>
      </c>
      <c r="Q25" s="27">
        <f>+[17]Resumen!W25</f>
        <v>0</v>
      </c>
      <c r="R25" s="27">
        <f>+[17]Resumen!X25</f>
        <v>0</v>
      </c>
    </row>
    <row r="26" spans="1:20" x14ac:dyDescent="0.3">
      <c r="A26" s="25" t="str">
        <f>+[17]Resumen!A26</f>
        <v>Verificación Colector Francia I</v>
      </c>
      <c r="B26" s="27">
        <f>+[17]Resumen!E26</f>
        <v>1126.9799999999998</v>
      </c>
      <c r="C26" s="27">
        <f>+[17]Resumen!I26</f>
        <v>0</v>
      </c>
      <c r="D26" s="27">
        <f>+[17]Resumen!J26</f>
        <v>0</v>
      </c>
      <c r="E26" s="27">
        <f>+[17]Resumen!K26</f>
        <v>0</v>
      </c>
      <c r="F26" s="26">
        <f>+[17]Resumen!L26</f>
        <v>0</v>
      </c>
      <c r="G26" s="27">
        <f>+[17]Resumen!M26</f>
        <v>0</v>
      </c>
      <c r="H26" s="27">
        <f>+[17]Resumen!N26</f>
        <v>0</v>
      </c>
      <c r="I26" s="27">
        <f>+[17]Resumen!O26</f>
        <v>0</v>
      </c>
      <c r="J26" s="27">
        <f>+[17]Resumen!P26</f>
        <v>0</v>
      </c>
      <c r="K26" s="27">
        <f>+[17]Resumen!Q26</f>
        <v>0</v>
      </c>
      <c r="L26" s="27">
        <f>+[17]Resumen!R26</f>
        <v>0</v>
      </c>
      <c r="M26" s="27">
        <f>+[17]Resumen!S26</f>
        <v>0</v>
      </c>
      <c r="N26" s="27">
        <f>+[17]Resumen!T26</f>
        <v>0</v>
      </c>
      <c r="O26" s="27">
        <f>+[17]Resumen!U26</f>
        <v>0</v>
      </c>
      <c r="P26" s="27">
        <f>+[17]Resumen!V26</f>
        <v>0</v>
      </c>
      <c r="Q26" s="27">
        <f>+[17]Resumen!W26</f>
        <v>0</v>
      </c>
      <c r="R26" s="27">
        <f>+[17]Resumen!X26</f>
        <v>0</v>
      </c>
    </row>
    <row r="27" spans="1:20" x14ac:dyDescent="0.3">
      <c r="A27" s="25" t="str">
        <f>+[17]Resumen!A27</f>
        <v>Verificación Colector Francia II</v>
      </c>
      <c r="B27" s="27">
        <f>+[17]Resumen!E27</f>
        <v>363.96000000000004</v>
      </c>
      <c r="C27" s="27">
        <f>+[17]Resumen!I27</f>
        <v>0</v>
      </c>
      <c r="D27" s="27">
        <f>+[17]Resumen!J27</f>
        <v>0</v>
      </c>
      <c r="E27" s="27">
        <f>+[17]Resumen!K27</f>
        <v>0</v>
      </c>
      <c r="F27" s="26">
        <f>+[17]Resumen!L27</f>
        <v>0</v>
      </c>
      <c r="G27" s="27">
        <f>+[17]Resumen!M27</f>
        <v>0</v>
      </c>
      <c r="H27" s="27">
        <f>+[17]Resumen!N27</f>
        <v>0</v>
      </c>
      <c r="I27" s="27">
        <f>+[17]Resumen!O27</f>
        <v>0</v>
      </c>
      <c r="J27" s="27">
        <f>+[17]Resumen!P27</f>
        <v>0</v>
      </c>
      <c r="K27" s="27">
        <f>+[17]Resumen!Q27</f>
        <v>0</v>
      </c>
      <c r="L27" s="27">
        <f>+[17]Resumen!R27</f>
        <v>0</v>
      </c>
      <c r="M27" s="27">
        <f>+[17]Resumen!S27</f>
        <v>0</v>
      </c>
      <c r="N27" s="27">
        <f>+[17]Resumen!T27</f>
        <v>0</v>
      </c>
      <c r="O27" s="27">
        <f>+[17]Resumen!U27</f>
        <v>0</v>
      </c>
      <c r="P27" s="27">
        <f>+[17]Resumen!V27</f>
        <v>0</v>
      </c>
      <c r="Q27" s="27">
        <f>+[17]Resumen!W27</f>
        <v>0</v>
      </c>
      <c r="R27" s="27">
        <f>+[17]Resumen!X27</f>
        <v>0</v>
      </c>
    </row>
    <row r="28" spans="1:20" x14ac:dyDescent="0.3">
      <c r="A28" s="38" t="str">
        <f>+[17]Resumen!A28</f>
        <v>Verificación Colector Circunvalación Sur</v>
      </c>
      <c r="B28" s="37">
        <f>+[17]Resumen!E28</f>
        <v>1383.7599999999998</v>
      </c>
      <c r="C28" s="27">
        <f>+[17]Resumen!I28</f>
        <v>0</v>
      </c>
      <c r="D28" s="27">
        <f>+[17]Resumen!J28</f>
        <v>0</v>
      </c>
      <c r="E28" s="27">
        <f>+[17]Resumen!K28</f>
        <v>0</v>
      </c>
      <c r="F28" s="26">
        <f>+[17]Resumen!L28</f>
        <v>0</v>
      </c>
      <c r="G28" s="27">
        <f>+[17]Resumen!M28</f>
        <v>0</v>
      </c>
      <c r="H28" s="27">
        <f>+[17]Resumen!N28</f>
        <v>0</v>
      </c>
      <c r="I28" s="27">
        <f>+[17]Resumen!O28</f>
        <v>0</v>
      </c>
      <c r="J28" s="27">
        <f>+[17]Resumen!P28</f>
        <v>0</v>
      </c>
      <c r="K28" s="27">
        <f>+[17]Resumen!Q28</f>
        <v>0</v>
      </c>
      <c r="L28" s="27">
        <f>+[17]Resumen!R28</f>
        <v>0</v>
      </c>
      <c r="M28" s="27">
        <f>+[17]Resumen!S28</f>
        <v>0</v>
      </c>
      <c r="N28" s="27">
        <f>+[17]Resumen!T28</f>
        <v>0</v>
      </c>
      <c r="O28" s="27">
        <f>+[17]Resumen!U28</f>
        <v>0</v>
      </c>
      <c r="P28" s="27">
        <f>+[17]Resumen!V28</f>
        <v>0</v>
      </c>
      <c r="Q28" s="27">
        <f>+[17]Resumen!W28</f>
        <v>0</v>
      </c>
      <c r="R28" s="27">
        <f>+[17]Resumen!X28</f>
        <v>0</v>
      </c>
      <c r="S28" s="29" t="s">
        <v>70</v>
      </c>
    </row>
    <row r="29" spans="1:20" x14ac:dyDescent="0.3">
      <c r="A29" s="38" t="str">
        <f>+[17]Resumen!A29</f>
        <v>Verificación Colector San Miguel</v>
      </c>
      <c r="B29" s="37">
        <f>+[17]Resumen!E29</f>
        <v>512.08000000000004</v>
      </c>
      <c r="C29" s="27">
        <f>+[17]Resumen!I29</f>
        <v>0</v>
      </c>
      <c r="D29" s="27">
        <f>+[17]Resumen!J29</f>
        <v>0</v>
      </c>
      <c r="E29" s="27">
        <f>+[17]Resumen!K29</f>
        <v>0</v>
      </c>
      <c r="F29" s="26">
        <f>+[17]Resumen!L29</f>
        <v>0</v>
      </c>
      <c r="G29" s="27">
        <f>+[17]Resumen!M29</f>
        <v>0</v>
      </c>
      <c r="H29" s="27">
        <f>+[17]Resumen!N29</f>
        <v>0</v>
      </c>
      <c r="I29" s="27">
        <f>+[17]Resumen!O29</f>
        <v>0</v>
      </c>
      <c r="J29" s="27">
        <f>+[17]Resumen!P29</f>
        <v>0</v>
      </c>
      <c r="K29" s="27">
        <f>+[17]Resumen!Q29</f>
        <v>0</v>
      </c>
      <c r="L29" s="27">
        <f>+[17]Resumen!R29</f>
        <v>0</v>
      </c>
      <c r="M29" s="27">
        <f>+[17]Resumen!S29</f>
        <v>0</v>
      </c>
      <c r="N29" s="27">
        <f>+[17]Resumen!T29</f>
        <v>0</v>
      </c>
      <c r="O29" s="27">
        <f>+[17]Resumen!U29</f>
        <v>0</v>
      </c>
      <c r="P29" s="27">
        <f>+[17]Resumen!V29</f>
        <v>0</v>
      </c>
      <c r="Q29" s="27">
        <f>+[17]Resumen!W29</f>
        <v>0</v>
      </c>
      <c r="R29" s="27">
        <f>+[17]Resumen!X29</f>
        <v>0</v>
      </c>
      <c r="S29" s="29" t="s">
        <v>70</v>
      </c>
    </row>
    <row r="30" spans="1:20" x14ac:dyDescent="0.3">
      <c r="A30" s="25" t="str">
        <f>+[17]Resumen!A30</f>
        <v>Verificación Colector San Pablo</v>
      </c>
      <c r="B30" s="27">
        <f>+[17]Resumen!E30</f>
        <v>678.38</v>
      </c>
      <c r="C30" s="27">
        <f>+[17]Resumen!I30</f>
        <v>0</v>
      </c>
      <c r="D30" s="27">
        <f>+[17]Resumen!J30</f>
        <v>0</v>
      </c>
      <c r="E30" s="27">
        <f>+[17]Resumen!K30</f>
        <v>0</v>
      </c>
      <c r="F30" s="27">
        <f>+[17]Resumen!L30</f>
        <v>0</v>
      </c>
      <c r="G30" s="27">
        <f>+[17]Resumen!M30</f>
        <v>0</v>
      </c>
      <c r="H30" s="27">
        <f>+[17]Resumen!N30</f>
        <v>0</v>
      </c>
      <c r="I30" s="27">
        <f>+[17]Resumen!O30</f>
        <v>0</v>
      </c>
      <c r="J30" s="27">
        <f>+[17]Resumen!P30</f>
        <v>0</v>
      </c>
      <c r="K30" s="27">
        <f>+[17]Resumen!Q30</f>
        <v>0</v>
      </c>
      <c r="L30" s="27">
        <f>+[17]Resumen!R30</f>
        <v>0</v>
      </c>
      <c r="M30" s="27">
        <f>+[17]Resumen!S30</f>
        <v>0</v>
      </c>
      <c r="N30" s="27">
        <f>+[17]Resumen!T30</f>
        <v>0</v>
      </c>
      <c r="O30" s="27">
        <f>+[17]Resumen!U30</f>
        <v>0</v>
      </c>
      <c r="P30" s="27">
        <f>+[17]Resumen!V30</f>
        <v>0</v>
      </c>
      <c r="Q30" s="27">
        <f>+[17]Resumen!W30</f>
        <v>0</v>
      </c>
      <c r="R30" s="27">
        <f>+[17]Resumen!X30</f>
        <v>0</v>
      </c>
    </row>
    <row r="31" spans="1:20" x14ac:dyDescent="0.3">
      <c r="A31" s="38" t="str">
        <f>+[17]Resumen!A31</f>
        <v>Verificación Colector Ruben Darío</v>
      </c>
      <c r="B31" s="37">
        <f>+[17]Resumen!E31</f>
        <v>1892.0159999999998</v>
      </c>
      <c r="C31" s="27">
        <f>+[17]Resumen!I31</f>
        <v>0</v>
      </c>
      <c r="D31" s="27">
        <f>+[17]Resumen!J31</f>
        <v>0</v>
      </c>
      <c r="E31" s="27">
        <f>+[17]Resumen!K31</f>
        <v>0</v>
      </c>
      <c r="F31" s="27">
        <f>+[17]Resumen!L31</f>
        <v>0</v>
      </c>
      <c r="G31" s="27">
        <f>+[17]Resumen!M31</f>
        <v>0</v>
      </c>
      <c r="H31" s="27">
        <f>+[17]Resumen!N31</f>
        <v>0</v>
      </c>
      <c r="I31" s="27">
        <f>+[17]Resumen!O31</f>
        <v>0</v>
      </c>
      <c r="J31" s="27">
        <f>+[17]Resumen!P31</f>
        <v>0</v>
      </c>
      <c r="K31" s="27">
        <f>+[17]Resumen!Q31</f>
        <v>0</v>
      </c>
      <c r="L31" s="27">
        <f>+[17]Resumen!R31</f>
        <v>0</v>
      </c>
      <c r="M31" s="27">
        <f>+[17]Resumen!S31</f>
        <v>0</v>
      </c>
      <c r="N31" s="27">
        <f>+[17]Resumen!T31</f>
        <v>0</v>
      </c>
      <c r="O31" s="27">
        <f>+[17]Resumen!U31</f>
        <v>0</v>
      </c>
      <c r="P31" s="27">
        <f>+[17]Resumen!V31</f>
        <v>0</v>
      </c>
      <c r="Q31" s="27">
        <f>+[17]Resumen!W31</f>
        <v>0</v>
      </c>
      <c r="R31" s="27">
        <f>+[17]Resumen!X31</f>
        <v>0</v>
      </c>
      <c r="S31" s="29" t="s">
        <v>70</v>
      </c>
    </row>
    <row r="32" spans="1:20" x14ac:dyDescent="0.3">
      <c r="A32" s="38" t="str">
        <f>+[17]Resumen!A32</f>
        <v>Verificación Colector San Luis I</v>
      </c>
      <c r="B32" s="37">
        <f>+[17]Resumen!E32</f>
        <v>178.69</v>
      </c>
      <c r="C32" s="27">
        <f>+[17]Resumen!I32</f>
        <v>0</v>
      </c>
      <c r="D32" s="27">
        <f>+[17]Resumen!J32</f>
        <v>0</v>
      </c>
      <c r="E32" s="27">
        <f>+[17]Resumen!K32</f>
        <v>0</v>
      </c>
      <c r="F32" s="27">
        <f>+[17]Resumen!L32</f>
        <v>0</v>
      </c>
      <c r="G32" s="27">
        <f>+[17]Resumen!M32</f>
        <v>0</v>
      </c>
      <c r="H32" s="27">
        <f>+[17]Resumen!N32</f>
        <v>0</v>
      </c>
      <c r="I32" s="27">
        <f>+[17]Resumen!O32</f>
        <v>0</v>
      </c>
      <c r="J32" s="27">
        <f>+[17]Resumen!P32</f>
        <v>0</v>
      </c>
      <c r="K32" s="27">
        <f>+[17]Resumen!Q32</f>
        <v>0</v>
      </c>
      <c r="L32" s="27">
        <f>+[17]Resumen!R32</f>
        <v>0</v>
      </c>
      <c r="M32" s="27">
        <f>+[17]Resumen!S32</f>
        <v>0</v>
      </c>
      <c r="N32" s="27">
        <f>+[17]Resumen!T32</f>
        <v>0</v>
      </c>
      <c r="O32" s="27">
        <f>+[17]Resumen!U32</f>
        <v>0</v>
      </c>
      <c r="P32" s="27">
        <f>+[17]Resumen!V32</f>
        <v>0</v>
      </c>
      <c r="Q32" s="27">
        <f>+[17]Resumen!W32</f>
        <v>0</v>
      </c>
      <c r="R32" s="27">
        <f>+[17]Resumen!X32</f>
        <v>0</v>
      </c>
      <c r="S32" s="29" t="s">
        <v>70</v>
      </c>
    </row>
    <row r="33" spans="1:34" x14ac:dyDescent="0.3">
      <c r="A33" s="38" t="str">
        <f>+[17]Resumen!A33</f>
        <v>Verificación Colector San Luis II y Krahmer - San Pedro</v>
      </c>
      <c r="B33" s="37">
        <f>+[17]Resumen!E33</f>
        <v>1119.27</v>
      </c>
      <c r="C33" s="27">
        <f>+[17]Resumen!I33</f>
        <v>0</v>
      </c>
      <c r="D33" s="27">
        <f>+[17]Resumen!J33</f>
        <v>0</v>
      </c>
      <c r="E33" s="27">
        <f>+[17]Resumen!K33</f>
        <v>0</v>
      </c>
      <c r="F33" s="27">
        <f>+[17]Resumen!L33</f>
        <v>0</v>
      </c>
      <c r="G33" s="27">
        <f>+[17]Resumen!M33</f>
        <v>0</v>
      </c>
      <c r="H33" s="27">
        <f>+[17]Resumen!N33</f>
        <v>0</v>
      </c>
      <c r="I33" s="27">
        <f>+[17]Resumen!O33</f>
        <v>0</v>
      </c>
      <c r="J33" s="27">
        <f>+[17]Resumen!P33</f>
        <v>0</v>
      </c>
      <c r="K33" s="27">
        <f>+[17]Resumen!Q33</f>
        <v>0</v>
      </c>
      <c r="L33" s="27">
        <f>+[17]Resumen!R33</f>
        <v>0</v>
      </c>
      <c r="M33" s="27">
        <f>+[17]Resumen!S33</f>
        <v>0</v>
      </c>
      <c r="N33" s="27">
        <f>+[17]Resumen!T33</f>
        <v>0</v>
      </c>
      <c r="O33" s="27">
        <f>+[17]Resumen!U33</f>
        <v>0</v>
      </c>
      <c r="P33" s="27">
        <f>+[17]Resumen!V33</f>
        <v>0</v>
      </c>
      <c r="Q33" s="27">
        <f>+[17]Resumen!W33</f>
        <v>0</v>
      </c>
      <c r="R33" s="27">
        <f>+[17]Resumen!X33</f>
        <v>0</v>
      </c>
      <c r="S33" s="29" t="s">
        <v>70</v>
      </c>
    </row>
    <row r="34" spans="1:34" x14ac:dyDescent="0.3">
      <c r="A34" s="25" t="str">
        <f>+[17]Resumen!A34</f>
        <v>Verificación Colector San Luis III (o Krahmer - San Jorge)</v>
      </c>
      <c r="B34" s="27">
        <f>+[17]Resumen!E34</f>
        <v>145.91999999999999</v>
      </c>
      <c r="C34" s="27">
        <f>+[17]Resumen!I34</f>
        <v>0</v>
      </c>
      <c r="D34" s="27">
        <f>+[17]Resumen!J34</f>
        <v>0</v>
      </c>
      <c r="E34" s="27">
        <f>+[17]Resumen!K34</f>
        <v>0</v>
      </c>
      <c r="F34" s="27">
        <f>+[17]Resumen!L34</f>
        <v>0</v>
      </c>
      <c r="G34" s="27">
        <f>+[17]Resumen!M34</f>
        <v>0</v>
      </c>
      <c r="H34" s="27">
        <f>+[17]Resumen!N34</f>
        <v>0</v>
      </c>
      <c r="I34" s="27">
        <f>+[17]Resumen!O34</f>
        <v>0</v>
      </c>
      <c r="J34" s="27">
        <f>+[17]Resumen!P34</f>
        <v>0</v>
      </c>
      <c r="K34" s="27">
        <f>+[17]Resumen!Q34</f>
        <v>0</v>
      </c>
      <c r="L34" s="27">
        <f>+[17]Resumen!R34</f>
        <v>0</v>
      </c>
      <c r="M34" s="27">
        <f>+[17]Resumen!S34</f>
        <v>0</v>
      </c>
      <c r="N34" s="27">
        <f>+[17]Resumen!T34</f>
        <v>0</v>
      </c>
      <c r="O34" s="27">
        <f>+[17]Resumen!U34</f>
        <v>0</v>
      </c>
      <c r="P34" s="27">
        <f>+[17]Resumen!V34</f>
        <v>0</v>
      </c>
      <c r="Q34" s="27">
        <f>+[17]Resumen!W34</f>
        <v>0</v>
      </c>
      <c r="R34" s="27">
        <f>+[17]Resumen!X34</f>
        <v>0</v>
      </c>
    </row>
    <row r="35" spans="1:34" x14ac:dyDescent="0.3">
      <c r="A35" s="25" t="str">
        <f>+[17]Resumen!A35</f>
        <v>Verificación Colector Krahmer I</v>
      </c>
      <c r="B35" s="27">
        <f>+[17]Resumen!E35</f>
        <v>532.26</v>
      </c>
      <c r="C35" s="27">
        <f>+[17]Resumen!I35</f>
        <v>0</v>
      </c>
      <c r="D35" s="27">
        <f>+[17]Resumen!J35</f>
        <v>0</v>
      </c>
      <c r="E35" s="27">
        <f>+[17]Resumen!K35</f>
        <v>0</v>
      </c>
      <c r="F35" s="27">
        <f>+[17]Resumen!L35</f>
        <v>0</v>
      </c>
      <c r="G35" s="27">
        <f>+[17]Resumen!M35</f>
        <v>0</v>
      </c>
      <c r="H35" s="27">
        <f>+[17]Resumen!N35</f>
        <v>0</v>
      </c>
      <c r="I35" s="27">
        <f>+[17]Resumen!O35</f>
        <v>0</v>
      </c>
      <c r="J35" s="27">
        <f>+[17]Resumen!P35</f>
        <v>0</v>
      </c>
      <c r="K35" s="27">
        <f>+[17]Resumen!Q35</f>
        <v>0</v>
      </c>
      <c r="L35" s="27">
        <f>+[17]Resumen!R35</f>
        <v>0</v>
      </c>
      <c r="M35" s="27">
        <f>+[17]Resumen!S35</f>
        <v>207.49</v>
      </c>
      <c r="N35" s="27">
        <f>+[17]Resumen!T35</f>
        <v>207.49</v>
      </c>
      <c r="O35" s="27">
        <f>+[17]Resumen!U35</f>
        <v>207.49</v>
      </c>
      <c r="P35" s="28">
        <f>+[17]Resumen!V35</f>
        <v>207.49</v>
      </c>
      <c r="Q35" s="28">
        <f>+[17]Resumen!W35</f>
        <v>207.49</v>
      </c>
      <c r="R35" s="28">
        <f>+[17]Resumen!X35</f>
        <v>207.49</v>
      </c>
    </row>
    <row r="36" spans="1:34" x14ac:dyDescent="0.3">
      <c r="A36" s="25" t="str">
        <f>+[17]Resumen!A36</f>
        <v>Verificación Colector Krahmer II</v>
      </c>
      <c r="B36" s="27">
        <f>+[17]Resumen!E36</f>
        <v>2261.41</v>
      </c>
      <c r="C36" s="27">
        <f>+[17]Resumen!I36</f>
        <v>0</v>
      </c>
      <c r="D36" s="27">
        <f>+[17]Resumen!J36</f>
        <v>0</v>
      </c>
      <c r="E36" s="27">
        <f>+[17]Resumen!K36</f>
        <v>0</v>
      </c>
      <c r="F36" s="27">
        <f>+[17]Resumen!L36</f>
        <v>0</v>
      </c>
      <c r="G36" s="27">
        <f>+[17]Resumen!M36</f>
        <v>0</v>
      </c>
      <c r="H36" s="27">
        <f>+[17]Resumen!N36</f>
        <v>0</v>
      </c>
      <c r="I36" s="27">
        <f>+[17]Resumen!O36</f>
        <v>0</v>
      </c>
      <c r="J36" s="27">
        <f>+[17]Resumen!P36</f>
        <v>0</v>
      </c>
      <c r="K36" s="27">
        <f>+[17]Resumen!Q36</f>
        <v>0</v>
      </c>
      <c r="L36" s="27">
        <f>+[17]Resumen!R36</f>
        <v>0</v>
      </c>
      <c r="M36" s="27">
        <f>+[17]Resumen!S36</f>
        <v>162.9</v>
      </c>
      <c r="N36" s="27">
        <f>+[17]Resumen!T36</f>
        <v>460.72</v>
      </c>
      <c r="O36" s="27">
        <f>+[17]Resumen!U36</f>
        <v>460.72</v>
      </c>
      <c r="P36" s="28">
        <f>+[17]Resumen!V36</f>
        <v>460.72</v>
      </c>
      <c r="Q36" s="28">
        <f>+[17]Resumen!W36</f>
        <v>460.72</v>
      </c>
      <c r="R36" s="28">
        <f>+[17]Resumen!X36</f>
        <v>751.38</v>
      </c>
    </row>
    <row r="37" spans="1:34" x14ac:dyDescent="0.3">
      <c r="A37" s="25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34" x14ac:dyDescent="0.3">
      <c r="A38" s="31" t="s">
        <v>28</v>
      </c>
      <c r="B38" s="32">
        <f t="shared" ref="B38:R38" si="1">SUM(B5:B37)</f>
        <v>29994.139999999989</v>
      </c>
      <c r="C38" s="32">
        <f t="shared" si="1"/>
        <v>0</v>
      </c>
      <c r="D38" s="32">
        <f t="shared" si="1"/>
        <v>0</v>
      </c>
      <c r="E38" s="32">
        <f t="shared" si="1"/>
        <v>0</v>
      </c>
      <c r="F38" s="32">
        <f t="shared" si="1"/>
        <v>0</v>
      </c>
      <c r="G38" s="32">
        <f t="shared" si="1"/>
        <v>0</v>
      </c>
      <c r="H38" s="32">
        <f t="shared" si="1"/>
        <v>125.48</v>
      </c>
      <c r="I38" s="32">
        <f t="shared" si="1"/>
        <v>801.01</v>
      </c>
      <c r="J38" s="32">
        <f t="shared" si="1"/>
        <v>1009.68</v>
      </c>
      <c r="K38" s="32">
        <f t="shared" si="1"/>
        <v>1249.1300000000001</v>
      </c>
      <c r="L38" s="32">
        <f t="shared" si="1"/>
        <v>1842.76</v>
      </c>
      <c r="M38" s="32">
        <f t="shared" si="1"/>
        <v>2527.6200000000003</v>
      </c>
      <c r="N38" s="32">
        <f t="shared" si="1"/>
        <v>2825.4400000000005</v>
      </c>
      <c r="O38" s="32">
        <f t="shared" si="1"/>
        <v>2825.4400000000005</v>
      </c>
      <c r="P38" s="32">
        <f t="shared" si="1"/>
        <v>2825.4400000000005</v>
      </c>
      <c r="Q38" s="32">
        <f t="shared" si="1"/>
        <v>2825.4400000000005</v>
      </c>
      <c r="R38" s="32">
        <f t="shared" si="1"/>
        <v>3116.1000000000004</v>
      </c>
    </row>
    <row r="39" spans="1:34" x14ac:dyDescent="0.3">
      <c r="B39" s="30"/>
      <c r="C39" s="30"/>
      <c r="D39" s="30">
        <f>+D38-C38</f>
        <v>0</v>
      </c>
      <c r="E39" s="30">
        <f t="shared" ref="E39:R39" si="2">+E38-D38</f>
        <v>0</v>
      </c>
      <c r="F39" s="30">
        <f t="shared" si="2"/>
        <v>0</v>
      </c>
      <c r="G39" s="30">
        <f t="shared" si="2"/>
        <v>0</v>
      </c>
      <c r="H39" s="30">
        <f t="shared" si="2"/>
        <v>125.48</v>
      </c>
      <c r="I39" s="30">
        <f t="shared" si="2"/>
        <v>675.53</v>
      </c>
      <c r="J39" s="30">
        <f t="shared" si="2"/>
        <v>208.66999999999996</v>
      </c>
      <c r="K39" s="30">
        <f t="shared" si="2"/>
        <v>239.45000000000016</v>
      </c>
      <c r="L39" s="30">
        <f t="shared" si="2"/>
        <v>593.62999999999988</v>
      </c>
      <c r="M39" s="30">
        <f t="shared" si="2"/>
        <v>684.86000000000035</v>
      </c>
      <c r="N39" s="30">
        <f t="shared" si="2"/>
        <v>297.82000000000016</v>
      </c>
      <c r="O39" s="30">
        <f t="shared" si="2"/>
        <v>0</v>
      </c>
      <c r="P39" s="30">
        <f t="shared" si="2"/>
        <v>0</v>
      </c>
      <c r="Q39" s="30">
        <f t="shared" si="2"/>
        <v>0</v>
      </c>
      <c r="R39" s="30">
        <f t="shared" si="2"/>
        <v>290.65999999999985</v>
      </c>
    </row>
    <row r="40" spans="1:34" x14ac:dyDescent="0.3">
      <c r="D40" s="13">
        <f>+D39/$B$38</f>
        <v>0</v>
      </c>
      <c r="E40" s="13">
        <f t="shared" ref="E40:R40" si="3">+E39/$B$38</f>
        <v>0</v>
      </c>
      <c r="F40" s="13">
        <f t="shared" si="3"/>
        <v>0</v>
      </c>
      <c r="G40" s="13">
        <f t="shared" si="3"/>
        <v>0</v>
      </c>
      <c r="H40" s="13">
        <f t="shared" si="3"/>
        <v>4.1834838405101814E-3</v>
      </c>
      <c r="I40" s="13">
        <f t="shared" si="3"/>
        <v>2.2522065976887492E-2</v>
      </c>
      <c r="J40" s="13">
        <f t="shared" si="3"/>
        <v>6.9570256056683084E-3</v>
      </c>
      <c r="K40" s="13">
        <f t="shared" si="3"/>
        <v>7.9832260568231082E-3</v>
      </c>
      <c r="L40" s="13">
        <f t="shared" si="3"/>
        <v>1.9791532612703683E-2</v>
      </c>
      <c r="M40" s="13">
        <f t="shared" si="3"/>
        <v>2.2833126737422729E-2</v>
      </c>
      <c r="N40" s="13">
        <f t="shared" si="3"/>
        <v>9.9292728512969629E-3</v>
      </c>
      <c r="O40" s="13">
        <f t="shared" si="3"/>
        <v>0</v>
      </c>
      <c r="P40" s="13">
        <f t="shared" si="3"/>
        <v>0</v>
      </c>
      <c r="Q40" s="13">
        <f t="shared" si="3"/>
        <v>0</v>
      </c>
      <c r="R40" s="13">
        <f t="shared" si="3"/>
        <v>9.690559555966597E-3</v>
      </c>
    </row>
    <row r="41" spans="1:34" x14ac:dyDescent="0.3"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3"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x14ac:dyDescent="0.3"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3"/>
    </row>
    <row r="44" spans="1:34" x14ac:dyDescent="0.3"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3"/>
    </row>
    <row r="45" spans="1:34" x14ac:dyDescent="0.3"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3"/>
    </row>
    <row r="46" spans="1:34" x14ac:dyDescent="0.3"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3"/>
    </row>
    <row r="47" spans="1:34" x14ac:dyDescent="0.3"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3"/>
    </row>
    <row r="48" spans="1:34" x14ac:dyDescent="0.3"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3"/>
    </row>
  </sheetData>
  <printOptions horizontalCentered="1"/>
  <pageMargins left="0" right="0" top="0.39370078740157483" bottom="0.39370078740157483" header="0" footer="0"/>
  <pageSetup scale="5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W23"/>
  <sheetViews>
    <sheetView showGridLines="0" topLeftCell="E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63</v>
      </c>
      <c r="E2" s="6" t="s">
        <v>7</v>
      </c>
      <c r="F2" s="7">
        <f>+'[17]Colector San Miguel'!$N$25</f>
        <v>512.08000000000004</v>
      </c>
      <c r="G2" s="8" t="s">
        <v>8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153</v>
      </c>
      <c r="P3" s="12" t="s">
        <v>154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Circunv Sur'!B6</f>
        <v>2022</v>
      </c>
      <c r="C6" s="3">
        <f>+SUMPRODUCT('[17]Colector San Miguel'!$AL$17:$AL$25,'[17]Colector San Miguel'!$M$17:$M$25)/F2</f>
        <v>397.31611532127158</v>
      </c>
      <c r="D6" s="3">
        <f t="shared" ref="D6:D21" si="0">+C6</f>
        <v>397.31611532127158</v>
      </c>
      <c r="E6" s="3">
        <f>D6/(0.25*PI()*(F6/1000)^2)/1000</f>
        <v>1.5220532892929719</v>
      </c>
      <c r="F6" s="3">
        <f>+SUMPRODUCT('[17]Colector San Miguel'!$F$17:$F$25,'[17]Colector San Miguel'!$M$17:$M$25)/F2</f>
        <v>576.51182627714411</v>
      </c>
      <c r="G6" s="3">
        <f>+'[2]Colector San Miguel'!$AB$25</f>
        <v>83.239696990693034</v>
      </c>
      <c r="H6" s="3">
        <f t="shared" ref="H6:H21" si="1">+D6-G6</f>
        <v>314.07641833057858</v>
      </c>
      <c r="L6" s="56">
        <f>+B6</f>
        <v>2022</v>
      </c>
      <c r="M6" s="9">
        <f>+'[2]Colector San Miguel'!$V$25</f>
        <v>2837.782891016107</v>
      </c>
      <c r="N6" s="34">
        <f>+'[2]Colector San Miguel'!$U$25</f>
        <v>4.502003400370878</v>
      </c>
      <c r="O6" s="44">
        <f t="shared" ref="O6:O21" si="2">1+(14/(4+(SQRT(M6/1000))))</f>
        <v>3.4628063379996759</v>
      </c>
      <c r="P6" s="34">
        <f t="shared" ref="P6:P21" si="3">+O6*N6</f>
        <v>15.589565908500369</v>
      </c>
      <c r="Q6" s="34">
        <f>+N6*$Q$4</f>
        <v>0.90040068007417562</v>
      </c>
      <c r="R6" s="34">
        <f t="shared" ref="R6:R21" si="4">+Q6+P6</f>
        <v>16.489966588574543</v>
      </c>
      <c r="S6" s="34">
        <f>+'[2]Colector San Miguel'!$AA$25</f>
        <v>66.749730402118487</v>
      </c>
      <c r="T6" s="57">
        <f>+S6+R6</f>
        <v>83.239696990693034</v>
      </c>
      <c r="V6" s="46">
        <f>+G6</f>
        <v>83.239696990693034</v>
      </c>
      <c r="W6" s="34">
        <f>+V6-T6</f>
        <v>0</v>
      </c>
    </row>
    <row r="7" spans="1:23" x14ac:dyDescent="0.3">
      <c r="B7" s="2">
        <f t="shared" ref="B7:B21" si="5">+B6+1</f>
        <v>2023</v>
      </c>
      <c r="C7" s="3">
        <f t="shared" ref="C7:C21" si="6">+C6</f>
        <v>397.31611532127158</v>
      </c>
      <c r="D7" s="3">
        <f t="shared" si="0"/>
        <v>397.31611532127158</v>
      </c>
      <c r="E7" s="3">
        <f t="shared" ref="E7:F21" si="7">+E6</f>
        <v>1.5220532892929719</v>
      </c>
      <c r="F7" s="3">
        <f t="shared" si="7"/>
        <v>576.51182627714411</v>
      </c>
      <c r="G7" s="3">
        <f>+'[3]Colector San Miguel'!$AB$25</f>
        <v>85.782720775953948</v>
      </c>
      <c r="H7" s="3">
        <f t="shared" si="1"/>
        <v>311.53339454531761</v>
      </c>
      <c r="L7" s="56">
        <f t="shared" ref="L7:L21" si="8">+B7</f>
        <v>2023</v>
      </c>
      <c r="M7" s="9">
        <f>+'[3]Colector San Miguel'!$V$25</f>
        <v>2860.7613868453295</v>
      </c>
      <c r="N7" s="34">
        <f>+'[3]Colector San Miguel'!$U$25</f>
        <v>4.6440545492258876</v>
      </c>
      <c r="O7" s="44">
        <f t="shared" si="2"/>
        <v>3.4598609785197882</v>
      </c>
      <c r="P7" s="34">
        <f t="shared" si="3"/>
        <v>16.067783116983954</v>
      </c>
      <c r="Q7" s="34">
        <f t="shared" ref="Q7:Q21" si="9">+N7*$Q$4</f>
        <v>0.92881090984517756</v>
      </c>
      <c r="R7" s="34">
        <f t="shared" si="4"/>
        <v>16.996594026829133</v>
      </c>
      <c r="S7" s="34">
        <f>+'[3]Colector San Miguel'!$AA$25</f>
        <v>68.786126749124819</v>
      </c>
      <c r="T7" s="57">
        <f t="shared" ref="T7:T21" si="10">+S7+R7</f>
        <v>85.782720775953948</v>
      </c>
      <c r="V7" s="46">
        <f t="shared" ref="V7:V21" si="11">+G7</f>
        <v>85.782720775953948</v>
      </c>
      <c r="W7" s="34">
        <f t="shared" ref="W7:W21" si="12">+V7-T7</f>
        <v>0</v>
      </c>
    </row>
    <row r="8" spans="1:23" x14ac:dyDescent="0.3">
      <c r="B8" s="2">
        <f t="shared" si="5"/>
        <v>2024</v>
      </c>
      <c r="C8" s="3">
        <f t="shared" si="6"/>
        <v>397.31611532127158</v>
      </c>
      <c r="D8" s="3">
        <f t="shared" si="0"/>
        <v>397.31611532127158</v>
      </c>
      <c r="E8" s="3">
        <f t="shared" si="7"/>
        <v>1.5220532892929719</v>
      </c>
      <c r="F8" s="3">
        <f t="shared" si="7"/>
        <v>576.51182627714411</v>
      </c>
      <c r="G8" s="3">
        <f>+'[4]Colector San Miguel'!$AB$25</f>
        <v>87.681498978305413</v>
      </c>
      <c r="H8" s="3">
        <f t="shared" si="1"/>
        <v>309.63461634296618</v>
      </c>
      <c r="L8" s="56">
        <f t="shared" si="8"/>
        <v>2024</v>
      </c>
      <c r="M8" s="9">
        <f>+'[4]Colector San Miguel'!$V$25</f>
        <v>2883.8453854102231</v>
      </c>
      <c r="N8" s="34">
        <f>+'[4]Colector San Miguel'!$U$25</f>
        <v>4.7514587130110844</v>
      </c>
      <c r="O8" s="44">
        <f t="shared" si="2"/>
        <v>3.4569210248346787</v>
      </c>
      <c r="P8" s="34">
        <f t="shared" si="3"/>
        <v>16.42541752364194</v>
      </c>
      <c r="Q8" s="34">
        <f t="shared" si="9"/>
        <v>0.95029174260221694</v>
      </c>
      <c r="R8" s="34">
        <f t="shared" si="4"/>
        <v>17.375709266244158</v>
      </c>
      <c r="S8" s="34">
        <f>+'[4]Colector San Miguel'!$AA$25</f>
        <v>70.305789712061255</v>
      </c>
      <c r="T8" s="57">
        <f t="shared" si="10"/>
        <v>87.681498978305413</v>
      </c>
      <c r="V8" s="46">
        <f t="shared" si="11"/>
        <v>87.681498978305413</v>
      </c>
      <c r="W8" s="34">
        <f t="shared" si="12"/>
        <v>0</v>
      </c>
    </row>
    <row r="9" spans="1:23" x14ac:dyDescent="0.3">
      <c r="B9" s="2">
        <f t="shared" si="5"/>
        <v>2025</v>
      </c>
      <c r="C9" s="3">
        <f t="shared" si="6"/>
        <v>397.31611532127158</v>
      </c>
      <c r="D9" s="3">
        <f t="shared" si="0"/>
        <v>397.31611532127158</v>
      </c>
      <c r="E9" s="3">
        <f t="shared" si="7"/>
        <v>1.5220532892929719</v>
      </c>
      <c r="F9" s="3">
        <f t="shared" si="7"/>
        <v>576.51182627714411</v>
      </c>
      <c r="G9" s="3">
        <f>+'[5]Colector San Miguel'!$AB$25</f>
        <v>89.585622257872629</v>
      </c>
      <c r="H9" s="3">
        <f t="shared" si="1"/>
        <v>307.73049306339897</v>
      </c>
      <c r="L9" s="56">
        <f t="shared" si="8"/>
        <v>2025</v>
      </c>
      <c r="M9" s="9">
        <f>+'[5]Colector San Miguel'!$V$25</f>
        <v>2907.013786163654</v>
      </c>
      <c r="N9" s="34">
        <f>+'[5]Colector San Miguel'!$U$25</f>
        <v>4.8593452387435798</v>
      </c>
      <c r="O9" s="44">
        <f t="shared" si="2"/>
        <v>3.4539891446078941</v>
      </c>
      <c r="P9" s="34">
        <f t="shared" si="3"/>
        <v>16.784125704522381</v>
      </c>
      <c r="Q9" s="34">
        <f t="shared" si="9"/>
        <v>0.97186904774871596</v>
      </c>
      <c r="R9" s="34">
        <f t="shared" si="4"/>
        <v>17.755994752271096</v>
      </c>
      <c r="S9" s="34">
        <f>+'[5]Colector San Miguel'!$AA$25</f>
        <v>71.829627505601536</v>
      </c>
      <c r="T9" s="57">
        <f t="shared" si="10"/>
        <v>89.585622257872629</v>
      </c>
      <c r="V9" s="46">
        <f t="shared" si="11"/>
        <v>89.585622257872629</v>
      </c>
      <c r="W9" s="34">
        <f t="shared" si="12"/>
        <v>0</v>
      </c>
    </row>
    <row r="10" spans="1:23" x14ac:dyDescent="0.3">
      <c r="B10" s="2">
        <f t="shared" si="5"/>
        <v>2026</v>
      </c>
      <c r="C10" s="3">
        <f t="shared" si="6"/>
        <v>397.31611532127158</v>
      </c>
      <c r="D10" s="3">
        <f t="shared" si="0"/>
        <v>397.31611532127158</v>
      </c>
      <c r="E10" s="3">
        <f t="shared" si="7"/>
        <v>1.5220532892929719</v>
      </c>
      <c r="F10" s="3">
        <f t="shared" si="7"/>
        <v>576.51182627714411</v>
      </c>
      <c r="G10" s="3">
        <f>+'[6]Colector San Miguel'!$AB$25</f>
        <v>91.509308845834425</v>
      </c>
      <c r="H10" s="3">
        <f t="shared" si="1"/>
        <v>305.80680647543716</v>
      </c>
      <c r="L10" s="56">
        <f t="shared" si="8"/>
        <v>2026</v>
      </c>
      <c r="M10" s="9">
        <f>+'[6]Colector San Miguel'!$V$25</f>
        <v>2930.3087901998906</v>
      </c>
      <c r="N10" s="34">
        <f>+'[6]Colector San Miguel'!$U$25</f>
        <v>4.9684952055237863</v>
      </c>
      <c r="O10" s="44">
        <f t="shared" si="2"/>
        <v>3.4510600030893261</v>
      </c>
      <c r="P10" s="34">
        <f t="shared" si="3"/>
        <v>17.146575079324219</v>
      </c>
      <c r="Q10" s="34">
        <f t="shared" si="9"/>
        <v>0.99369904110475726</v>
      </c>
      <c r="R10" s="34">
        <f t="shared" si="4"/>
        <v>18.140274120428977</v>
      </c>
      <c r="S10" s="34">
        <f>+'[6]Colector San Miguel'!$AA$25</f>
        <v>73.369034725405442</v>
      </c>
      <c r="T10" s="57">
        <f t="shared" si="10"/>
        <v>91.509308845834425</v>
      </c>
      <c r="V10" s="46">
        <f t="shared" si="11"/>
        <v>91.509308845834425</v>
      </c>
      <c r="W10" s="34">
        <f t="shared" si="12"/>
        <v>0</v>
      </c>
    </row>
    <row r="11" spans="1:23" x14ac:dyDescent="0.3">
      <c r="B11" s="2">
        <f t="shared" si="5"/>
        <v>2027</v>
      </c>
      <c r="C11" s="3">
        <f t="shared" si="6"/>
        <v>397.31611532127158</v>
      </c>
      <c r="D11" s="3">
        <f t="shared" si="0"/>
        <v>397.31611532127158</v>
      </c>
      <c r="E11" s="3">
        <f t="shared" si="7"/>
        <v>1.5220532892929719</v>
      </c>
      <c r="F11" s="3">
        <f t="shared" si="7"/>
        <v>576.51182627714411</v>
      </c>
      <c r="G11" s="3">
        <f>+'[7]Colector San Miguel'!$AB$25</f>
        <v>93.448973248762343</v>
      </c>
      <c r="H11" s="3">
        <f t="shared" si="1"/>
        <v>303.86714207250924</v>
      </c>
      <c r="L11" s="56">
        <f t="shared" si="8"/>
        <v>2027</v>
      </c>
      <c r="M11" s="9">
        <f>+'[7]Colector San Miguel'!$V$25</f>
        <v>2953.7092969717983</v>
      </c>
      <c r="N11" s="34">
        <f>+'[7]Colector San Miguel'!$U$25</f>
        <v>5.0787124103362373</v>
      </c>
      <c r="O11" s="44">
        <f t="shared" si="2"/>
        <v>3.4481362841424068</v>
      </c>
      <c r="P11" s="34">
        <f t="shared" si="3"/>
        <v>17.512092538804719</v>
      </c>
      <c r="Q11" s="34">
        <f t="shared" si="9"/>
        <v>1.0157424820672476</v>
      </c>
      <c r="R11" s="34">
        <f t="shared" si="4"/>
        <v>18.527835020871965</v>
      </c>
      <c r="S11" s="34">
        <f>+'[7]Colector San Miguel'!$AA$25</f>
        <v>74.921138227890381</v>
      </c>
      <c r="T11" s="57">
        <f t="shared" si="10"/>
        <v>93.448973248762343</v>
      </c>
      <c r="V11" s="46">
        <f t="shared" si="11"/>
        <v>93.448973248762343</v>
      </c>
      <c r="W11" s="34">
        <f t="shared" si="12"/>
        <v>0</v>
      </c>
    </row>
    <row r="12" spans="1:23" x14ac:dyDescent="0.3">
      <c r="B12" s="2">
        <f t="shared" si="5"/>
        <v>2028</v>
      </c>
      <c r="C12" s="3">
        <f t="shared" si="6"/>
        <v>397.31611532127158</v>
      </c>
      <c r="D12" s="3">
        <f t="shared" si="0"/>
        <v>397.31611532127158</v>
      </c>
      <c r="E12" s="3">
        <f t="shared" si="7"/>
        <v>1.5220532892929719</v>
      </c>
      <c r="F12" s="3">
        <f t="shared" si="7"/>
        <v>576.51182627714411</v>
      </c>
      <c r="G12" s="3">
        <f>+'[8]Colector San Miguel'!$AB$25</f>
        <v>95.412012658904104</v>
      </c>
      <c r="H12" s="3">
        <f t="shared" si="1"/>
        <v>301.90410266236745</v>
      </c>
      <c r="L12" s="56">
        <f t="shared" si="8"/>
        <v>2028</v>
      </c>
      <c r="M12" s="9">
        <f>+'[8]Colector San Miguel'!$V$25</f>
        <v>2977.2364070265116</v>
      </c>
      <c r="N12" s="34">
        <f>+'[8]Colector San Miguel'!$U$25</f>
        <v>5.1904060309440734</v>
      </c>
      <c r="O12" s="44">
        <f t="shared" si="2"/>
        <v>3.4452153811051907</v>
      </c>
      <c r="P12" s="34">
        <f t="shared" si="3"/>
        <v>17.882066691989667</v>
      </c>
      <c r="Q12" s="34">
        <f t="shared" si="9"/>
        <v>1.0380812061888147</v>
      </c>
      <c r="R12" s="34">
        <f t="shared" si="4"/>
        <v>18.920147898178481</v>
      </c>
      <c r="S12" s="34">
        <f>+'[8]Colector San Miguel'!$AA$25</f>
        <v>76.491864760725619</v>
      </c>
      <c r="T12" s="57">
        <f t="shared" si="10"/>
        <v>95.412012658904104</v>
      </c>
      <c r="V12" s="46">
        <f t="shared" si="11"/>
        <v>95.412012658904104</v>
      </c>
      <c r="W12" s="34">
        <f t="shared" si="12"/>
        <v>0</v>
      </c>
    </row>
    <row r="13" spans="1:23" x14ac:dyDescent="0.3">
      <c r="B13" s="2">
        <f t="shared" si="5"/>
        <v>2029</v>
      </c>
      <c r="C13" s="3">
        <f t="shared" si="6"/>
        <v>397.31611532127158</v>
      </c>
      <c r="D13" s="3">
        <f t="shared" si="0"/>
        <v>397.31611532127158</v>
      </c>
      <c r="E13" s="3">
        <f t="shared" si="7"/>
        <v>1.5220532892929719</v>
      </c>
      <c r="F13" s="3">
        <f t="shared" si="7"/>
        <v>576.51182627714411</v>
      </c>
      <c r="G13" s="3">
        <f>+'[9]Colector San Miguel'!$AB$25</f>
        <v>97.379679442952849</v>
      </c>
      <c r="H13" s="3">
        <f t="shared" si="1"/>
        <v>299.93643587831872</v>
      </c>
      <c r="L13" s="56">
        <f t="shared" si="8"/>
        <v>2029</v>
      </c>
      <c r="M13" s="9">
        <f>+'[9]Colector San Miguel'!$V$25</f>
        <v>3000.8479192697623</v>
      </c>
      <c r="N13" s="34">
        <f>+'[9]Colector San Miguel'!$U$25</f>
        <v>5.3025497759313138</v>
      </c>
      <c r="O13" s="44">
        <f t="shared" si="2"/>
        <v>3.4423025374303293</v>
      </c>
      <c r="P13" s="34">
        <f t="shared" si="3"/>
        <v>18.252980548538986</v>
      </c>
      <c r="Q13" s="34">
        <f t="shared" si="9"/>
        <v>1.0605099551862629</v>
      </c>
      <c r="R13" s="34">
        <f t="shared" si="4"/>
        <v>19.313490503725248</v>
      </c>
      <c r="S13" s="34">
        <f>+'[9]Colector San Miguel'!$AA$25</f>
        <v>78.066188939227601</v>
      </c>
      <c r="T13" s="57">
        <f t="shared" si="10"/>
        <v>97.379679442952849</v>
      </c>
      <c r="V13" s="46">
        <f t="shared" si="11"/>
        <v>97.379679442952849</v>
      </c>
      <c r="W13" s="34">
        <f t="shared" si="12"/>
        <v>0</v>
      </c>
    </row>
    <row r="14" spans="1:23" x14ac:dyDescent="0.3">
      <c r="B14" s="2">
        <f t="shared" si="5"/>
        <v>2030</v>
      </c>
      <c r="C14" s="3">
        <f t="shared" si="6"/>
        <v>397.31611532127158</v>
      </c>
      <c r="D14" s="3">
        <f t="shared" si="0"/>
        <v>397.31611532127158</v>
      </c>
      <c r="E14" s="3">
        <f t="shared" si="7"/>
        <v>1.5220532892929719</v>
      </c>
      <c r="F14" s="3">
        <f t="shared" si="7"/>
        <v>576.51182627714411</v>
      </c>
      <c r="G14" s="3">
        <f>+'[10]Colector San Miguel'!$AB$25</f>
        <v>99.36696287692294</v>
      </c>
      <c r="H14" s="3">
        <f t="shared" si="1"/>
        <v>297.94915244434867</v>
      </c>
      <c r="L14" s="56">
        <f t="shared" si="8"/>
        <v>2030</v>
      </c>
      <c r="M14" s="9">
        <f>+'[10]Colector San Miguel'!$V$25</f>
        <v>3024.5860347958183</v>
      </c>
      <c r="N14" s="34">
        <f>+'[10]Colector San Miguel'!$U$25</f>
        <v>5.4159701568103991</v>
      </c>
      <c r="O14" s="44">
        <f t="shared" si="2"/>
        <v>3.4393925505106973</v>
      </c>
      <c r="P14" s="34">
        <f t="shared" si="3"/>
        <v>18.627647411121938</v>
      </c>
      <c r="Q14" s="34">
        <f t="shared" si="9"/>
        <v>1.0831940313620798</v>
      </c>
      <c r="R14" s="34">
        <f t="shared" si="4"/>
        <v>19.710841442484018</v>
      </c>
      <c r="S14" s="34">
        <f>+'[10]Colector San Miguel'!$AA$25</f>
        <v>79.65612143443893</v>
      </c>
      <c r="T14" s="57">
        <f t="shared" si="10"/>
        <v>99.36696287692294</v>
      </c>
      <c r="V14" s="46">
        <f t="shared" si="11"/>
        <v>99.36696287692294</v>
      </c>
      <c r="W14" s="34">
        <f t="shared" si="12"/>
        <v>0</v>
      </c>
    </row>
    <row r="15" spans="1:23" x14ac:dyDescent="0.3">
      <c r="B15" s="2">
        <f t="shared" si="5"/>
        <v>2031</v>
      </c>
      <c r="C15" s="3">
        <f t="shared" si="6"/>
        <v>397.31611532127158</v>
      </c>
      <c r="D15" s="3">
        <f t="shared" si="0"/>
        <v>397.31611532127158</v>
      </c>
      <c r="E15" s="3">
        <f t="shared" si="7"/>
        <v>1.5220532892929719</v>
      </c>
      <c r="F15" s="3">
        <f t="shared" si="7"/>
        <v>576.51182627714411</v>
      </c>
      <c r="G15" s="3">
        <f>+'[11]Colector San Miguel'!$AB$25</f>
        <v>101.36996879668706</v>
      </c>
      <c r="H15" s="3">
        <f t="shared" si="1"/>
        <v>295.94614652458449</v>
      </c>
      <c r="L15" s="56">
        <f t="shared" si="8"/>
        <v>2031</v>
      </c>
      <c r="M15" s="9">
        <f>+'[11]Colector San Miguel'!$V$25</f>
        <v>3048.4507536046804</v>
      </c>
      <c r="N15" s="34">
        <f>+'[11]Colector San Miguel'!$U$25</f>
        <v>5.5304577757217288</v>
      </c>
      <c r="O15" s="44">
        <f t="shared" si="2"/>
        <v>3.4364854724749478</v>
      </c>
      <c r="P15" s="34">
        <f t="shared" si="3"/>
        <v>19.005337802403833</v>
      </c>
      <c r="Q15" s="34">
        <f t="shared" si="9"/>
        <v>1.1060915551443458</v>
      </c>
      <c r="R15" s="34">
        <f t="shared" si="4"/>
        <v>20.111429357548179</v>
      </c>
      <c r="S15" s="34">
        <f>+'[11]Colector San Miguel'!$AA$25</f>
        <v>81.258539439138886</v>
      </c>
      <c r="T15" s="57">
        <f t="shared" si="10"/>
        <v>101.36996879668706</v>
      </c>
      <c r="V15" s="46">
        <f t="shared" si="11"/>
        <v>101.36996879668706</v>
      </c>
      <c r="W15" s="34">
        <f t="shared" si="12"/>
        <v>0</v>
      </c>
    </row>
    <row r="16" spans="1:23" x14ac:dyDescent="0.3">
      <c r="B16" s="2">
        <f t="shared" si="5"/>
        <v>2032</v>
      </c>
      <c r="C16" s="3">
        <f t="shared" si="6"/>
        <v>397.31611532127158</v>
      </c>
      <c r="D16" s="3">
        <f t="shared" si="0"/>
        <v>397.31611532127158</v>
      </c>
      <c r="E16" s="3">
        <f t="shared" si="7"/>
        <v>1.5220532892929719</v>
      </c>
      <c r="F16" s="3">
        <f t="shared" si="7"/>
        <v>576.51182627714411</v>
      </c>
      <c r="G16" s="3">
        <f>+'[12]Colector San Miguel'!$AB$25</f>
        <v>103.39649402405568</v>
      </c>
      <c r="H16" s="3">
        <f t="shared" si="1"/>
        <v>293.91962129721588</v>
      </c>
      <c r="L16" s="56">
        <f t="shared" si="8"/>
        <v>2032</v>
      </c>
      <c r="M16" s="9">
        <f>+'[12]Colector San Miguel'!$V$25</f>
        <v>3072.4420756963477</v>
      </c>
      <c r="N16" s="34">
        <f>+'[12]Colector San Miguel'!$U$25</f>
        <v>5.6464408531521988</v>
      </c>
      <c r="O16" s="44">
        <f t="shared" si="2"/>
        <v>3.4335813542681035</v>
      </c>
      <c r="P16" s="34">
        <f t="shared" si="3"/>
        <v>19.387514031361071</v>
      </c>
      <c r="Q16" s="34">
        <f t="shared" si="9"/>
        <v>1.1292881706304398</v>
      </c>
      <c r="R16" s="34">
        <f t="shared" si="4"/>
        <v>20.51680220199151</v>
      </c>
      <c r="S16" s="34">
        <f>+'[12]Colector San Miguel'!$AA$25</f>
        <v>82.879691822064174</v>
      </c>
      <c r="T16" s="57">
        <f t="shared" si="10"/>
        <v>103.39649402405568</v>
      </c>
      <c r="V16" s="46">
        <f t="shared" si="11"/>
        <v>103.39649402405568</v>
      </c>
      <c r="W16" s="34">
        <f t="shared" si="12"/>
        <v>0</v>
      </c>
    </row>
    <row r="17" spans="2:23" x14ac:dyDescent="0.3">
      <c r="B17" s="2">
        <f t="shared" si="5"/>
        <v>2033</v>
      </c>
      <c r="C17" s="3">
        <f t="shared" si="6"/>
        <v>397.31611532127158</v>
      </c>
      <c r="D17" s="3">
        <f t="shared" si="0"/>
        <v>397.31611532127158</v>
      </c>
      <c r="E17" s="3">
        <f t="shared" si="7"/>
        <v>1.5220532892929719</v>
      </c>
      <c r="F17" s="3">
        <f t="shared" si="7"/>
        <v>576.51182627714411</v>
      </c>
      <c r="G17" s="3">
        <f>+'[13]Colector San Miguel'!$AB$25</f>
        <v>105.42666997338854</v>
      </c>
      <c r="H17" s="3">
        <f t="shared" si="1"/>
        <v>291.88944534788305</v>
      </c>
      <c r="L17" s="56">
        <f t="shared" si="8"/>
        <v>2033</v>
      </c>
      <c r="M17" s="9">
        <f>+'[13]Colector San Miguel'!$V$25</f>
        <v>3096.581101617955</v>
      </c>
      <c r="N17" s="34">
        <f>+'[13]Colector San Miguel'!$U$25</f>
        <v>5.762841817394186</v>
      </c>
      <c r="O17" s="44">
        <f t="shared" si="2"/>
        <v>3.4306777154989438</v>
      </c>
      <c r="P17" s="34">
        <f t="shared" si="3"/>
        <v>19.77045300087967</v>
      </c>
      <c r="Q17" s="34">
        <f t="shared" si="9"/>
        <v>1.1525683634788373</v>
      </c>
      <c r="R17" s="34">
        <f t="shared" si="4"/>
        <v>20.923021364358508</v>
      </c>
      <c r="S17" s="34">
        <f>+'[13]Colector San Miguel'!$AA$25</f>
        <v>84.503648609030037</v>
      </c>
      <c r="T17" s="57">
        <f t="shared" si="10"/>
        <v>105.42666997338854</v>
      </c>
      <c r="V17" s="46">
        <f t="shared" si="11"/>
        <v>105.42666997338854</v>
      </c>
      <c r="W17" s="34">
        <f t="shared" si="12"/>
        <v>0</v>
      </c>
    </row>
    <row r="18" spans="2:23" x14ac:dyDescent="0.3">
      <c r="B18" s="2">
        <f t="shared" si="5"/>
        <v>2034</v>
      </c>
      <c r="C18" s="3">
        <f t="shared" si="6"/>
        <v>397.31611532127158</v>
      </c>
      <c r="D18" s="3">
        <f t="shared" si="0"/>
        <v>397.31611532127158</v>
      </c>
      <c r="E18" s="3">
        <f t="shared" si="7"/>
        <v>1.5220532892929719</v>
      </c>
      <c r="F18" s="3">
        <f t="shared" si="7"/>
        <v>576.51182627714411</v>
      </c>
      <c r="G18" s="3">
        <f>+'[14]Colector San Miguel'!$AB$25</f>
        <v>107.47668777758119</v>
      </c>
      <c r="H18" s="3">
        <f t="shared" si="1"/>
        <v>289.83942754369036</v>
      </c>
      <c r="L18" s="56">
        <f t="shared" si="8"/>
        <v>2034</v>
      </c>
      <c r="M18" s="9">
        <f>+'[14]Colector San Miguel'!$V$25</f>
        <v>3120.8045297280992</v>
      </c>
      <c r="N18" s="34">
        <f>+'[14]Colector San Miguel'!$U$25</f>
        <v>5.8805326123721491</v>
      </c>
      <c r="O18" s="44">
        <f t="shared" si="2"/>
        <v>3.4277821953316567</v>
      </c>
      <c r="P18" s="34">
        <f t="shared" si="3"/>
        <v>20.157184987756409</v>
      </c>
      <c r="Q18" s="34">
        <f t="shared" si="9"/>
        <v>1.1761065224744298</v>
      </c>
      <c r="R18" s="34">
        <f t="shared" si="4"/>
        <v>21.33329151023084</v>
      </c>
      <c r="S18" s="34">
        <f>+'[14]Colector San Miguel'!$AA$25</f>
        <v>86.143396267350354</v>
      </c>
      <c r="T18" s="57">
        <f t="shared" si="10"/>
        <v>107.47668777758119</v>
      </c>
      <c r="V18" s="46">
        <f t="shared" si="11"/>
        <v>107.47668777758119</v>
      </c>
      <c r="W18" s="34">
        <f t="shared" si="12"/>
        <v>0</v>
      </c>
    </row>
    <row r="19" spans="2:23" x14ac:dyDescent="0.3">
      <c r="B19" s="2">
        <f t="shared" si="5"/>
        <v>2035</v>
      </c>
      <c r="C19" s="3">
        <f t="shared" si="6"/>
        <v>397.31611532127158</v>
      </c>
      <c r="D19" s="3">
        <f t="shared" si="0"/>
        <v>397.31611532127158</v>
      </c>
      <c r="E19" s="3">
        <f t="shared" si="7"/>
        <v>1.5220532892929719</v>
      </c>
      <c r="F19" s="3">
        <f t="shared" si="7"/>
        <v>576.51182627714411</v>
      </c>
      <c r="G19" s="3">
        <f>+'[15]Colector San Miguel'!$AB$25</f>
        <v>109.54207206543342</v>
      </c>
      <c r="H19" s="3">
        <f t="shared" si="1"/>
        <v>287.77404325583814</v>
      </c>
      <c r="L19" s="56">
        <f t="shared" si="8"/>
        <v>2035</v>
      </c>
      <c r="M19" s="9">
        <f>+'[15]Colector San Miguel'!$V$25</f>
        <v>3145.1967622153179</v>
      </c>
      <c r="N19" s="34">
        <f>+'[15]Colector San Miguel'!$U$25</f>
        <v>5.9992906453823549</v>
      </c>
      <c r="O19" s="44">
        <f t="shared" si="2"/>
        <v>3.4248847521746604</v>
      </c>
      <c r="P19" s="34">
        <f t="shared" si="3"/>
        <v>20.546879055234104</v>
      </c>
      <c r="Q19" s="34">
        <f t="shared" si="9"/>
        <v>1.1998581290764712</v>
      </c>
      <c r="R19" s="34">
        <f t="shared" si="4"/>
        <v>21.746737184310575</v>
      </c>
      <c r="S19" s="34">
        <f>+'[15]Colector San Miguel'!$AA$25</f>
        <v>87.795334881122841</v>
      </c>
      <c r="T19" s="57">
        <f t="shared" si="10"/>
        <v>109.54207206543342</v>
      </c>
      <c r="V19" s="46">
        <f t="shared" si="11"/>
        <v>109.54207206543342</v>
      </c>
      <c r="W19" s="34">
        <f t="shared" si="12"/>
        <v>0</v>
      </c>
    </row>
    <row r="20" spans="2:23" x14ac:dyDescent="0.3">
      <c r="B20" s="2">
        <f t="shared" si="5"/>
        <v>2036</v>
      </c>
      <c r="C20" s="3">
        <f t="shared" si="6"/>
        <v>397.31611532127158</v>
      </c>
      <c r="D20" s="3">
        <f t="shared" si="0"/>
        <v>397.31611532127158</v>
      </c>
      <c r="E20" s="3">
        <f t="shared" si="7"/>
        <v>1.5220532892929719</v>
      </c>
      <c r="F20" s="3">
        <f t="shared" si="7"/>
        <v>576.51182627714411</v>
      </c>
      <c r="G20" s="3">
        <f>+'[16]Colector San Miguel'!$AB$25</f>
        <v>111.6312064073289</v>
      </c>
      <c r="H20" s="3">
        <f t="shared" si="1"/>
        <v>285.68490891394265</v>
      </c>
      <c r="L20" s="56">
        <f t="shared" si="8"/>
        <v>2036</v>
      </c>
      <c r="M20" s="9">
        <f>+'[16]Colector San Miguel'!$V$25</f>
        <v>3169.6944974382077</v>
      </c>
      <c r="N20" s="34">
        <f>+'[16]Colector San Miguel'!$U$25</f>
        <v>6.1195631796354677</v>
      </c>
      <c r="O20" s="44">
        <f t="shared" si="2"/>
        <v>3.421992975412715</v>
      </c>
      <c r="P20" s="34">
        <f t="shared" si="3"/>
        <v>20.94110221330687</v>
      </c>
      <c r="Q20" s="34">
        <f t="shared" si="9"/>
        <v>1.2239126359270935</v>
      </c>
      <c r="R20" s="34">
        <f t="shared" si="4"/>
        <v>22.165014849233962</v>
      </c>
      <c r="S20" s="34">
        <f>+'[16]Colector San Miguel'!$AA$25</f>
        <v>89.466191558094934</v>
      </c>
      <c r="T20" s="57">
        <f t="shared" si="10"/>
        <v>111.6312064073289</v>
      </c>
      <c r="V20" s="46">
        <f t="shared" si="11"/>
        <v>111.6312064073289</v>
      </c>
      <c r="W20" s="34">
        <f t="shared" si="12"/>
        <v>0</v>
      </c>
    </row>
    <row r="21" spans="2:23" ht="13.8" thickBot="1" x14ac:dyDescent="0.35">
      <c r="B21" s="2">
        <f t="shared" si="5"/>
        <v>2037</v>
      </c>
      <c r="C21" s="3">
        <f t="shared" si="6"/>
        <v>397.31611532127158</v>
      </c>
      <c r="D21" s="3">
        <f t="shared" si="0"/>
        <v>397.31611532127158</v>
      </c>
      <c r="E21" s="3">
        <f t="shared" si="7"/>
        <v>1.5220532892929719</v>
      </c>
      <c r="F21" s="3">
        <f t="shared" si="7"/>
        <v>576.51182627714411</v>
      </c>
      <c r="G21" s="3">
        <f>+'[17]Colector San Miguel'!$AB$25</f>
        <v>113.72326917259824</v>
      </c>
      <c r="H21" s="3">
        <f t="shared" si="1"/>
        <v>283.59284614867335</v>
      </c>
      <c r="I21" s="13">
        <f>+G21/G6-1</f>
        <v>0.36621435785997081</v>
      </c>
      <c r="L21" s="58">
        <f t="shared" si="8"/>
        <v>2037</v>
      </c>
      <c r="M21" s="59">
        <f>+'[17]Colector San Miguel'!$V$25</f>
        <v>3194.3399364910379</v>
      </c>
      <c r="N21" s="60">
        <f>+'[17]Colector San Miguel'!$U$25</f>
        <v>6.2402213631321999</v>
      </c>
      <c r="O21" s="61">
        <f t="shared" si="2"/>
        <v>3.4191019285827267</v>
      </c>
      <c r="P21" s="60">
        <f t="shared" si="3"/>
        <v>21.335952897468434</v>
      </c>
      <c r="Q21" s="60">
        <f t="shared" si="9"/>
        <v>1.24804427262644</v>
      </c>
      <c r="R21" s="60">
        <f t="shared" si="4"/>
        <v>22.583997170094875</v>
      </c>
      <c r="S21" s="60">
        <f>+'[17]Colector San Miguel'!$AA$25</f>
        <v>91.139272002503361</v>
      </c>
      <c r="T21" s="62">
        <f t="shared" si="10"/>
        <v>113.72326917259824</v>
      </c>
      <c r="V21" s="46">
        <f t="shared" si="11"/>
        <v>113.72326917259824</v>
      </c>
      <c r="W21" s="34">
        <f t="shared" si="12"/>
        <v>0</v>
      </c>
    </row>
    <row r="22" spans="2:23" x14ac:dyDescent="0.3">
      <c r="L22" s="43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38</v>
      </c>
      <c r="E2" s="6" t="s">
        <v>7</v>
      </c>
      <c r="F2" s="7">
        <f>+'[17]Colector Francia II'!$N$22</f>
        <v>363.96000000000004</v>
      </c>
      <c r="G2" s="8" t="s">
        <v>8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155</v>
      </c>
      <c r="P3" s="12" t="s">
        <v>156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Francia I'!B6</f>
        <v>2022</v>
      </c>
      <c r="C6" s="3">
        <f>+SUMPRODUCT('[17]Colector Francia II'!$AL$17:$AL$22,'[17]Colector Francia II'!$M$17:$M$22)/F2</f>
        <v>257.02875484624792</v>
      </c>
      <c r="D6" s="3">
        <f t="shared" ref="D6:D21" si="0">+C6</f>
        <v>257.02875484624792</v>
      </c>
      <c r="E6" s="3">
        <f>D6/(0.25*PI()*(F6/1000)^2)/1000</f>
        <v>0.90905326334522951</v>
      </c>
      <c r="F6" s="3">
        <f>+SUMPRODUCT('[17]Colector Francia II'!$F$17:$F$22,'[17]Colector Francia II'!$M$17:$M$22)/F2</f>
        <v>599.99999999999989</v>
      </c>
      <c r="G6" s="3">
        <f>+'[2]Colector Francia II'!$AB$22</f>
        <v>65.853139766764897</v>
      </c>
      <c r="H6" s="3">
        <f t="shared" ref="H6:H21" si="1">+D6-G6</f>
        <v>191.17561507948301</v>
      </c>
      <c r="L6" s="56">
        <f>+B6</f>
        <v>2022</v>
      </c>
      <c r="M6" s="9">
        <f>+'[2]Colector Francia II'!$V$22</f>
        <v>11330.021595693426</v>
      </c>
      <c r="N6" s="34">
        <f>+'[2]Colector Francia II'!$U$22</f>
        <v>18.67836514972668</v>
      </c>
      <c r="O6" s="44">
        <f t="shared" ref="O6:O21" si="2">1+(14/(4+(SQRT(M6/1000))))</f>
        <v>2.9006219767342483</v>
      </c>
      <c r="P6" s="34">
        <f t="shared" ref="P6:P21" si="3">+O6*N6</f>
        <v>54.178876442764299</v>
      </c>
      <c r="Q6" s="34">
        <f>+N6*$Q$4</f>
        <v>3.7356730299453362</v>
      </c>
      <c r="R6" s="34">
        <f t="shared" ref="R6:R21" si="4">+Q6+P6</f>
        <v>57.914549472709638</v>
      </c>
      <c r="S6" s="34">
        <f>+'[2]Colector Francia II'!$AA$22</f>
        <v>7.9385902940552651</v>
      </c>
      <c r="T6" s="57">
        <f>+S6+R6</f>
        <v>65.853139766764897</v>
      </c>
      <c r="V6" s="46">
        <f>+G6</f>
        <v>65.853139766764897</v>
      </c>
      <c r="W6" s="34">
        <f>+V6-T6</f>
        <v>0</v>
      </c>
    </row>
    <row r="7" spans="1:23" x14ac:dyDescent="0.3">
      <c r="B7" s="2">
        <f t="shared" ref="B7:B21" si="5">+B6+1</f>
        <v>2023</v>
      </c>
      <c r="C7" s="3">
        <f t="shared" ref="C7:C21" si="6">+C6</f>
        <v>257.02875484624792</v>
      </c>
      <c r="D7" s="3">
        <f t="shared" si="0"/>
        <v>257.02875484624792</v>
      </c>
      <c r="E7" s="3">
        <f t="shared" ref="E7:F21" si="7">+E6</f>
        <v>0.90905326334522951</v>
      </c>
      <c r="F7" s="3">
        <f t="shared" si="7"/>
        <v>599.99999999999989</v>
      </c>
      <c r="G7" s="3">
        <f>+'[3]Colector Francia II'!$AB$22</f>
        <v>67.660831476416547</v>
      </c>
      <c r="H7" s="3">
        <f t="shared" si="1"/>
        <v>189.36792336983137</v>
      </c>
      <c r="L7" s="56">
        <f t="shared" ref="L7:L21" si="8">+B7</f>
        <v>2023</v>
      </c>
      <c r="M7" s="9">
        <f>+'[3]Colector Francia II'!$V$22</f>
        <v>11421.764644397346</v>
      </c>
      <c r="N7" s="34">
        <f>+'[3]Colector Francia II'!$U$22</f>
        <v>19.267721263503383</v>
      </c>
      <c r="O7" s="44">
        <f t="shared" si="2"/>
        <v>2.8971191905206011</v>
      </c>
      <c r="P7" s="34">
        <f t="shared" si="3"/>
        <v>55.820885030097493</v>
      </c>
      <c r="Q7" s="34">
        <f t="shared" ref="Q7:Q21" si="9">+N7*$Q$4</f>
        <v>3.8535442527006767</v>
      </c>
      <c r="R7" s="34">
        <f t="shared" si="4"/>
        <v>59.674429282798172</v>
      </c>
      <c r="S7" s="34">
        <f>+'[3]Colector Francia II'!$AA$22</f>
        <v>7.9864021936183711</v>
      </c>
      <c r="T7" s="57">
        <f t="shared" ref="T7:T21" si="10">+S7+R7</f>
        <v>67.660831476416547</v>
      </c>
      <c r="V7" s="46">
        <f t="shared" ref="V7:V21" si="11">+G7</f>
        <v>67.660831476416547</v>
      </c>
      <c r="W7" s="34">
        <f t="shared" ref="W7:W21" si="12">+V7-T7</f>
        <v>0</v>
      </c>
    </row>
    <row r="8" spans="1:23" x14ac:dyDescent="0.3">
      <c r="B8" s="2">
        <f t="shared" si="5"/>
        <v>2024</v>
      </c>
      <c r="C8" s="3">
        <f t="shared" si="6"/>
        <v>257.02875484624792</v>
      </c>
      <c r="D8" s="3">
        <f t="shared" si="0"/>
        <v>257.02875484624792</v>
      </c>
      <c r="E8" s="3">
        <f t="shared" si="7"/>
        <v>0.90905326334522951</v>
      </c>
      <c r="F8" s="3">
        <f t="shared" si="7"/>
        <v>599.99999999999989</v>
      </c>
      <c r="G8" s="3">
        <f>+'[4]Colector Francia II'!$AB$22</f>
        <v>69.006105868250984</v>
      </c>
      <c r="H8" s="3">
        <f t="shared" si="1"/>
        <v>188.02264897799694</v>
      </c>
      <c r="L8" s="56">
        <f t="shared" si="8"/>
        <v>2024</v>
      </c>
      <c r="M8" s="9">
        <f>+'[4]Colector Francia II'!$V$22</f>
        <v>11513.9289192202</v>
      </c>
      <c r="N8" s="34">
        <f>+'[4]Colector Francia II'!$U$22</f>
        <v>19.713330475974363</v>
      </c>
      <c r="O8" s="44">
        <f t="shared" si="2"/>
        <v>2.8936273560271624</v>
      </c>
      <c r="P8" s="34">
        <f t="shared" si="3"/>
        <v>57.043032343683379</v>
      </c>
      <c r="Q8" s="34">
        <f t="shared" si="9"/>
        <v>3.9426660951948729</v>
      </c>
      <c r="R8" s="34">
        <f t="shared" si="4"/>
        <v>60.985698438878252</v>
      </c>
      <c r="S8" s="34">
        <f>+'[4]Colector Francia II'!$AA$22</f>
        <v>8.020407429372737</v>
      </c>
      <c r="T8" s="57">
        <f t="shared" si="10"/>
        <v>69.006105868250984</v>
      </c>
      <c r="V8" s="46">
        <f t="shared" si="11"/>
        <v>69.006105868250984</v>
      </c>
      <c r="W8" s="34">
        <f t="shared" si="12"/>
        <v>0</v>
      </c>
    </row>
    <row r="9" spans="1:23" x14ac:dyDescent="0.3">
      <c r="B9" s="2">
        <f t="shared" si="5"/>
        <v>2025</v>
      </c>
      <c r="C9" s="3">
        <f t="shared" si="6"/>
        <v>257.02875484624792</v>
      </c>
      <c r="D9" s="3">
        <f t="shared" si="0"/>
        <v>257.02875484624792</v>
      </c>
      <c r="E9" s="3">
        <f t="shared" si="7"/>
        <v>0.90905326334522951</v>
      </c>
      <c r="F9" s="3">
        <f t="shared" si="7"/>
        <v>599.99999999999989</v>
      </c>
      <c r="G9" s="3">
        <f>+'[5]Colector Francia II'!$AB$22</f>
        <v>70.355026895271777</v>
      </c>
      <c r="H9" s="3">
        <f t="shared" si="1"/>
        <v>186.67372795097614</v>
      </c>
      <c r="L9" s="56">
        <f t="shared" si="8"/>
        <v>2025</v>
      </c>
      <c r="M9" s="9">
        <f>+'[5]Colector Francia II'!$V$22</f>
        <v>11606.430174938203</v>
      </c>
      <c r="N9" s="34">
        <f>+'[5]Colector Francia II'!$U$22</f>
        <v>20.160940960275848</v>
      </c>
      <c r="O9" s="44">
        <f t="shared" si="2"/>
        <v>2.8901496019021216</v>
      </c>
      <c r="P9" s="34">
        <f t="shared" si="3"/>
        <v>58.268135490313419</v>
      </c>
      <c r="Q9" s="34">
        <f t="shared" si="9"/>
        <v>4.0321881920551697</v>
      </c>
      <c r="R9" s="34">
        <f t="shared" si="4"/>
        <v>62.300323682368585</v>
      </c>
      <c r="S9" s="34">
        <f>+'[5]Colector Francia II'!$AA$22</f>
        <v>8.054703212903199</v>
      </c>
      <c r="T9" s="57">
        <f t="shared" si="10"/>
        <v>70.355026895271777</v>
      </c>
      <c r="V9" s="46">
        <f t="shared" si="11"/>
        <v>70.355026895271777</v>
      </c>
      <c r="W9" s="34">
        <f t="shared" si="12"/>
        <v>0</v>
      </c>
    </row>
    <row r="10" spans="1:23" x14ac:dyDescent="0.3">
      <c r="B10" s="2">
        <f t="shared" si="5"/>
        <v>2026</v>
      </c>
      <c r="C10" s="3">
        <f t="shared" si="6"/>
        <v>257.02875484624792</v>
      </c>
      <c r="D10" s="3">
        <f t="shared" si="0"/>
        <v>257.02875484624792</v>
      </c>
      <c r="E10" s="3">
        <f t="shared" si="7"/>
        <v>0.90905326334522951</v>
      </c>
      <c r="F10" s="3">
        <f t="shared" si="7"/>
        <v>599.99999999999989</v>
      </c>
      <c r="G10" s="3">
        <f>+'[6]Colector Francia II'!$AB$22</f>
        <v>71.717762255986472</v>
      </c>
      <c r="H10" s="3">
        <f t="shared" si="1"/>
        <v>185.31099259026143</v>
      </c>
      <c r="L10" s="56">
        <f t="shared" si="8"/>
        <v>2026</v>
      </c>
      <c r="M10" s="9">
        <f>+'[6]Colector Francia II'!$V$22</f>
        <v>11699.436901998924</v>
      </c>
      <c r="N10" s="34">
        <f>+'[6]Colector Francia II'!$U$22</f>
        <v>20.613793336049994</v>
      </c>
      <c r="O10" s="44">
        <f t="shared" si="2"/>
        <v>2.886679566662778</v>
      </c>
      <c r="P10" s="34">
        <f t="shared" si="3"/>
        <v>59.50541601458486</v>
      </c>
      <c r="Q10" s="34">
        <f t="shared" si="9"/>
        <v>4.1227586672099994</v>
      </c>
      <c r="R10" s="34">
        <f t="shared" si="4"/>
        <v>63.62817468179486</v>
      </c>
      <c r="S10" s="34">
        <f>+'[6]Colector Francia II'!$AA$22</f>
        <v>8.0895875741916097</v>
      </c>
      <c r="T10" s="57">
        <f t="shared" si="10"/>
        <v>71.717762255986472</v>
      </c>
      <c r="V10" s="46">
        <f t="shared" si="11"/>
        <v>71.717762255986472</v>
      </c>
      <c r="W10" s="34">
        <f t="shared" si="12"/>
        <v>0</v>
      </c>
    </row>
    <row r="11" spans="1:23" x14ac:dyDescent="0.3">
      <c r="B11" s="2">
        <f t="shared" si="5"/>
        <v>2027</v>
      </c>
      <c r="C11" s="3">
        <f t="shared" si="6"/>
        <v>257.02875484624792</v>
      </c>
      <c r="D11" s="3">
        <f t="shared" si="0"/>
        <v>257.02875484624792</v>
      </c>
      <c r="E11" s="3">
        <f t="shared" si="7"/>
        <v>0.90905326334522951</v>
      </c>
      <c r="F11" s="3">
        <f t="shared" si="7"/>
        <v>599.99999999999989</v>
      </c>
      <c r="G11" s="3">
        <f>+'[7]Colector Francia II'!$AB$22</f>
        <v>73.091754068844253</v>
      </c>
      <c r="H11" s="3">
        <f t="shared" si="1"/>
        <v>183.93700077740368</v>
      </c>
      <c r="L11" s="56">
        <f t="shared" si="8"/>
        <v>2027</v>
      </c>
      <c r="M11" s="9">
        <f>+'[7]Colector Francia II'!$V$22</f>
        <v>11792.864855178583</v>
      </c>
      <c r="N11" s="34">
        <f>+'[7]Colector Francia II'!$U$22</f>
        <v>21.071073576464649</v>
      </c>
      <c r="O11" s="44">
        <f t="shared" si="2"/>
        <v>2.8832204025179564</v>
      </c>
      <c r="P11" s="34">
        <f t="shared" si="3"/>
        <v>60.752549238619878</v>
      </c>
      <c r="Q11" s="34">
        <f t="shared" si="9"/>
        <v>4.2142147152929299</v>
      </c>
      <c r="R11" s="34">
        <f t="shared" si="4"/>
        <v>64.966763953912803</v>
      </c>
      <c r="S11" s="34">
        <f>+'[7]Colector Francia II'!$AA$22</f>
        <v>8.1249901149314532</v>
      </c>
      <c r="T11" s="57">
        <f t="shared" si="10"/>
        <v>73.091754068844253</v>
      </c>
      <c r="V11" s="46">
        <f t="shared" si="11"/>
        <v>73.091754068844253</v>
      </c>
      <c r="W11" s="34">
        <f t="shared" si="12"/>
        <v>0</v>
      </c>
    </row>
    <row r="12" spans="1:23" x14ac:dyDescent="0.3">
      <c r="B12" s="2">
        <f t="shared" si="5"/>
        <v>2028</v>
      </c>
      <c r="C12" s="3">
        <f t="shared" si="6"/>
        <v>257.02875484624792</v>
      </c>
      <c r="D12" s="3">
        <f t="shared" si="0"/>
        <v>257.02875484624792</v>
      </c>
      <c r="E12" s="3">
        <f t="shared" si="7"/>
        <v>0.90905326334522951</v>
      </c>
      <c r="F12" s="3">
        <f t="shared" si="7"/>
        <v>599.99999999999989</v>
      </c>
      <c r="G12" s="3">
        <f>+'[8]Colector Francia II'!$AB$22</f>
        <v>74.482290934935492</v>
      </c>
      <c r="H12" s="3">
        <f t="shared" si="1"/>
        <v>182.54646391131243</v>
      </c>
      <c r="L12" s="56">
        <f t="shared" si="8"/>
        <v>2028</v>
      </c>
      <c r="M12" s="9">
        <f>+'[8]Colector Francia II'!$V$22</f>
        <v>11886.798279700961</v>
      </c>
      <c r="N12" s="34">
        <f>+'[8]Colector Francia II'!$U$22</f>
        <v>21.534479319435945</v>
      </c>
      <c r="O12" s="44">
        <f t="shared" si="2"/>
        <v>2.8797689981066519</v>
      </c>
      <c r="P12" s="34">
        <f t="shared" si="3"/>
        <v>62.014325934480468</v>
      </c>
      <c r="Q12" s="34">
        <f t="shared" si="9"/>
        <v>4.3068958638871893</v>
      </c>
      <c r="R12" s="34">
        <f t="shared" si="4"/>
        <v>66.32122179836766</v>
      </c>
      <c r="S12" s="34">
        <f>+'[8]Colector Francia II'!$AA$22</f>
        <v>8.1610691365678321</v>
      </c>
      <c r="T12" s="57">
        <f t="shared" si="10"/>
        <v>74.482290934935492</v>
      </c>
      <c r="V12" s="46">
        <f t="shared" si="11"/>
        <v>74.482290934935492</v>
      </c>
      <c r="W12" s="34">
        <f t="shared" si="12"/>
        <v>0</v>
      </c>
    </row>
    <row r="13" spans="1:23" x14ac:dyDescent="0.3">
      <c r="B13" s="2">
        <f t="shared" si="5"/>
        <v>2029</v>
      </c>
      <c r="C13" s="3">
        <f t="shared" si="6"/>
        <v>257.02875484624792</v>
      </c>
      <c r="D13" s="3">
        <f t="shared" si="0"/>
        <v>257.02875484624792</v>
      </c>
      <c r="E13" s="3">
        <f t="shared" si="7"/>
        <v>0.90905326334522951</v>
      </c>
      <c r="F13" s="3">
        <f t="shared" si="7"/>
        <v>599.99999999999989</v>
      </c>
      <c r="G13" s="3">
        <f>+'[9]Colector Francia II'!$AB$22</f>
        <v>75.875956593710839</v>
      </c>
      <c r="H13" s="3">
        <f t="shared" si="1"/>
        <v>181.15279825253708</v>
      </c>
      <c r="L13" s="56">
        <f t="shared" si="8"/>
        <v>2029</v>
      </c>
      <c r="M13" s="9">
        <f>+'[9]Colector Francia II'!$V$22</f>
        <v>11981.068685118487</v>
      </c>
      <c r="N13" s="34">
        <f>+'[9]Colector Francia II'!$U$22</f>
        <v>21.999752583769098</v>
      </c>
      <c r="O13" s="44">
        <f t="shared" si="2"/>
        <v>2.87633151604892</v>
      </c>
      <c r="P13" s="34">
        <f t="shared" si="3"/>
        <v>63.278581701973714</v>
      </c>
      <c r="Q13" s="34">
        <f t="shared" si="9"/>
        <v>4.3999505167538198</v>
      </c>
      <c r="R13" s="34">
        <f t="shared" si="4"/>
        <v>67.67853221872754</v>
      </c>
      <c r="S13" s="34">
        <f>+'[9]Colector Francia II'!$AA$22</f>
        <v>8.1974243749832958</v>
      </c>
      <c r="T13" s="57">
        <f t="shared" si="10"/>
        <v>75.875956593710839</v>
      </c>
      <c r="V13" s="46">
        <f t="shared" si="11"/>
        <v>75.875956593710839</v>
      </c>
      <c r="W13" s="34">
        <f t="shared" si="12"/>
        <v>0</v>
      </c>
    </row>
    <row r="14" spans="1:23" x14ac:dyDescent="0.3">
      <c r="B14" s="2">
        <f t="shared" si="5"/>
        <v>2030</v>
      </c>
      <c r="C14" s="3">
        <f t="shared" si="6"/>
        <v>257.02875484624792</v>
      </c>
      <c r="D14" s="3">
        <f t="shared" si="0"/>
        <v>257.02875484624792</v>
      </c>
      <c r="E14" s="3">
        <f t="shared" si="7"/>
        <v>0.90905326334522951</v>
      </c>
      <c r="F14" s="3">
        <f t="shared" si="7"/>
        <v>599.99999999999989</v>
      </c>
      <c r="G14" s="3">
        <f>+'[10]Colector Francia II'!$AB$22</f>
        <v>77.283469371221344</v>
      </c>
      <c r="H14" s="3">
        <f t="shared" si="1"/>
        <v>179.74528547502658</v>
      </c>
      <c r="L14" s="56">
        <f t="shared" si="8"/>
        <v>2030</v>
      </c>
      <c r="M14" s="9">
        <f>+'[10]Colector Francia II'!$V$22</f>
        <v>12075.844561878735</v>
      </c>
      <c r="N14" s="34">
        <f>+'[10]Colector Francia II'!$U$22</f>
        <v>22.470322483673243</v>
      </c>
      <c r="O14" s="44">
        <f t="shared" si="2"/>
        <v>2.8729017835766206</v>
      </c>
      <c r="P14" s="34">
        <f t="shared" si="3"/>
        <v>64.555029540886693</v>
      </c>
      <c r="Q14" s="34">
        <f t="shared" si="9"/>
        <v>4.4940644967346488</v>
      </c>
      <c r="R14" s="34">
        <f t="shared" si="4"/>
        <v>69.049094037621344</v>
      </c>
      <c r="S14" s="34">
        <f>+'[10]Colector Francia II'!$AA$22</f>
        <v>8.2343753336000063</v>
      </c>
      <c r="T14" s="57">
        <f t="shared" si="10"/>
        <v>77.283469371221344</v>
      </c>
      <c r="V14" s="46">
        <f t="shared" si="11"/>
        <v>77.283469371221344</v>
      </c>
      <c r="W14" s="34">
        <f t="shared" si="12"/>
        <v>0</v>
      </c>
    </row>
    <row r="15" spans="1:23" x14ac:dyDescent="0.3">
      <c r="B15" s="2">
        <f t="shared" si="5"/>
        <v>2031</v>
      </c>
      <c r="C15" s="3">
        <f t="shared" si="6"/>
        <v>257.02875484624792</v>
      </c>
      <c r="D15" s="3">
        <f t="shared" si="0"/>
        <v>257.02875484624792</v>
      </c>
      <c r="E15" s="3">
        <f t="shared" si="7"/>
        <v>0.90905326334522951</v>
      </c>
      <c r="F15" s="3">
        <f t="shared" si="7"/>
        <v>599.99999999999989</v>
      </c>
      <c r="G15" s="3">
        <f>+'[11]Colector Francia II'!$AB$22</f>
        <v>78.702035068690705</v>
      </c>
      <c r="H15" s="3">
        <f t="shared" si="1"/>
        <v>178.32671977755723</v>
      </c>
      <c r="L15" s="56">
        <f t="shared" si="8"/>
        <v>2031</v>
      </c>
      <c r="M15" s="9">
        <f>+'[11]Colector Francia II'!$V$22</f>
        <v>12171.125909981703</v>
      </c>
      <c r="N15" s="34">
        <f>+'[11]Colector Francia II'!$U$22</f>
        <v>22.94532024821789</v>
      </c>
      <c r="O15" s="44">
        <f t="shared" si="2"/>
        <v>2.8694798407761892</v>
      </c>
      <c r="P15" s="34">
        <f t="shared" si="3"/>
        <v>65.841133892414945</v>
      </c>
      <c r="Q15" s="34">
        <f t="shared" si="9"/>
        <v>4.5890640496435777</v>
      </c>
      <c r="R15" s="34">
        <f t="shared" si="4"/>
        <v>70.430197942058527</v>
      </c>
      <c r="S15" s="34">
        <f>+'[11]Colector Francia II'!$AA$22</f>
        <v>8.2718371266321746</v>
      </c>
      <c r="T15" s="57">
        <f t="shared" si="10"/>
        <v>78.702035068690705</v>
      </c>
      <c r="V15" s="46">
        <f t="shared" si="11"/>
        <v>78.702035068690705</v>
      </c>
      <c r="W15" s="34">
        <f t="shared" si="12"/>
        <v>0</v>
      </c>
    </row>
    <row r="16" spans="1:23" x14ac:dyDescent="0.3">
      <c r="B16" s="2">
        <f t="shared" si="5"/>
        <v>2032</v>
      </c>
      <c r="C16" s="3">
        <f t="shared" si="6"/>
        <v>257.02875484624792</v>
      </c>
      <c r="D16" s="3">
        <f t="shared" si="0"/>
        <v>257.02875484624792</v>
      </c>
      <c r="E16" s="3">
        <f t="shared" si="7"/>
        <v>0.90905326334522951</v>
      </c>
      <c r="F16" s="3">
        <f t="shared" si="7"/>
        <v>599.99999999999989</v>
      </c>
      <c r="G16" s="3">
        <f>+'[12]Colector Francia II'!$AB$22</f>
        <v>80.137243413197709</v>
      </c>
      <c r="H16" s="3">
        <f t="shared" si="1"/>
        <v>176.8915114330502</v>
      </c>
      <c r="L16" s="56">
        <f t="shared" si="8"/>
        <v>2032</v>
      </c>
      <c r="M16" s="9">
        <f>+'[12]Colector Francia II'!$V$22</f>
        <v>12266.912729427393</v>
      </c>
      <c r="N16" s="34">
        <f>+'[12]Colector Francia II'!$U$22</f>
        <v>23.426522521689495</v>
      </c>
      <c r="O16" s="44">
        <f t="shared" si="2"/>
        <v>2.8660657261149893</v>
      </c>
      <c r="P16" s="34">
        <f t="shared" si="3"/>
        <v>67.141953281475153</v>
      </c>
      <c r="Q16" s="34">
        <f t="shared" si="9"/>
        <v>4.6853045043378989</v>
      </c>
      <c r="R16" s="34">
        <f t="shared" si="4"/>
        <v>71.827257785813046</v>
      </c>
      <c r="S16" s="34">
        <f>+'[12]Colector Francia II'!$AA$22</f>
        <v>8.3099856273846644</v>
      </c>
      <c r="T16" s="57">
        <f t="shared" si="10"/>
        <v>80.137243413197709</v>
      </c>
      <c r="V16" s="46">
        <f t="shared" si="11"/>
        <v>80.137243413197709</v>
      </c>
      <c r="W16" s="34">
        <f t="shared" si="12"/>
        <v>0</v>
      </c>
    </row>
    <row r="17" spans="2:23" x14ac:dyDescent="0.3">
      <c r="B17" s="2">
        <f t="shared" si="5"/>
        <v>2033</v>
      </c>
      <c r="C17" s="3">
        <f t="shared" si="6"/>
        <v>257.02875484624792</v>
      </c>
      <c r="D17" s="3">
        <f t="shared" si="0"/>
        <v>257.02875484624792</v>
      </c>
      <c r="E17" s="3">
        <f t="shared" si="7"/>
        <v>0.90905326334522951</v>
      </c>
      <c r="F17" s="3">
        <f t="shared" si="7"/>
        <v>599.99999999999989</v>
      </c>
      <c r="G17" s="3">
        <f>+'[13]Colector Francia II'!$AB$22</f>
        <v>81.574829960161921</v>
      </c>
      <c r="H17" s="3">
        <f t="shared" si="1"/>
        <v>175.45392488608599</v>
      </c>
      <c r="L17" s="56">
        <f t="shared" si="8"/>
        <v>2033</v>
      </c>
      <c r="M17" s="9">
        <f>+'[13]Colector Francia II'!$V$22</f>
        <v>12363.289265439593</v>
      </c>
      <c r="N17" s="34">
        <f>+'[13]Colector Francia II'!$U$22</f>
        <v>23.909458566054315</v>
      </c>
      <c r="O17" s="44">
        <f t="shared" si="2"/>
        <v>2.8626565076342851</v>
      </c>
      <c r="P17" s="34">
        <f t="shared" si="3"/>
        <v>68.444567158127683</v>
      </c>
      <c r="Q17" s="34">
        <f t="shared" si="9"/>
        <v>4.7818917132108636</v>
      </c>
      <c r="R17" s="34">
        <f t="shared" si="4"/>
        <v>73.226458871338551</v>
      </c>
      <c r="S17" s="34">
        <f>+'[13]Colector Francia II'!$AA$22</f>
        <v>8.3483710888233738</v>
      </c>
      <c r="T17" s="57">
        <f t="shared" si="10"/>
        <v>81.574829960161921</v>
      </c>
      <c r="V17" s="46">
        <f t="shared" si="11"/>
        <v>81.574829960161921</v>
      </c>
      <c r="W17" s="34">
        <f t="shared" si="12"/>
        <v>0</v>
      </c>
    </row>
    <row r="18" spans="2:23" x14ac:dyDescent="0.3">
      <c r="B18" s="2">
        <f t="shared" si="5"/>
        <v>2034</v>
      </c>
      <c r="C18" s="3">
        <f t="shared" si="6"/>
        <v>257.02875484624792</v>
      </c>
      <c r="D18" s="3">
        <f t="shared" si="0"/>
        <v>257.02875484624792</v>
      </c>
      <c r="E18" s="3">
        <f t="shared" si="7"/>
        <v>0.90905326334522951</v>
      </c>
      <c r="F18" s="3">
        <f t="shared" si="7"/>
        <v>599.99999999999989</v>
      </c>
      <c r="G18" s="3">
        <f>+'[14]Colector Francia II'!$AB$22</f>
        <v>83.026451691882357</v>
      </c>
      <c r="H18" s="3">
        <f t="shared" si="1"/>
        <v>174.00230315436556</v>
      </c>
      <c r="L18" s="56">
        <f t="shared" si="8"/>
        <v>2034</v>
      </c>
      <c r="M18" s="9">
        <f>+'[14]Colector Francia II'!$V$22</f>
        <v>12460.002782346939</v>
      </c>
      <c r="N18" s="34">
        <f>+'[14]Colector Francia II'!$U$22</f>
        <v>24.397745990088453</v>
      </c>
      <c r="O18" s="44">
        <f t="shared" si="2"/>
        <v>2.859261127199118</v>
      </c>
      <c r="P18" s="34">
        <f t="shared" si="3"/>
        <v>69.759526700738064</v>
      </c>
      <c r="Q18" s="34">
        <f t="shared" si="9"/>
        <v>4.879549198017691</v>
      </c>
      <c r="R18" s="34">
        <f t="shared" si="4"/>
        <v>74.639075898755749</v>
      </c>
      <c r="S18" s="34">
        <f>+'[14]Colector Francia II'!$AA$22</f>
        <v>8.387375793126612</v>
      </c>
      <c r="T18" s="57">
        <f t="shared" si="10"/>
        <v>83.026451691882357</v>
      </c>
      <c r="V18" s="46">
        <f t="shared" si="11"/>
        <v>83.026451691882357</v>
      </c>
      <c r="W18" s="34">
        <f t="shared" si="12"/>
        <v>0</v>
      </c>
    </row>
    <row r="19" spans="2:23" x14ac:dyDescent="0.3">
      <c r="B19" s="2">
        <f t="shared" si="5"/>
        <v>2035</v>
      </c>
      <c r="C19" s="3">
        <f t="shared" si="6"/>
        <v>257.02875484624792</v>
      </c>
      <c r="D19" s="3">
        <f t="shared" si="0"/>
        <v>257.02875484624792</v>
      </c>
      <c r="E19" s="3">
        <f t="shared" si="7"/>
        <v>0.90905326334522951</v>
      </c>
      <c r="F19" s="3">
        <f t="shared" si="7"/>
        <v>599.99999999999989</v>
      </c>
      <c r="G19" s="3">
        <f>+'[15]Colector Francia II'!$AB$22</f>
        <v>84.488834692513194</v>
      </c>
      <c r="H19" s="3">
        <f t="shared" si="1"/>
        <v>172.53992015373473</v>
      </c>
      <c r="L19" s="56">
        <f t="shared" si="8"/>
        <v>2035</v>
      </c>
      <c r="M19" s="9">
        <f>+'[15]Colector Francia II'!$V$22</f>
        <v>12557.390261044578</v>
      </c>
      <c r="N19" s="34">
        <f>+'[15]Colector Francia II'!$U$22</f>
        <v>24.890461278763091</v>
      </c>
      <c r="O19" s="44">
        <f t="shared" si="2"/>
        <v>2.8558677877286467</v>
      </c>
      <c r="P19" s="34">
        <f t="shared" si="3"/>
        <v>71.083866587726689</v>
      </c>
      <c r="Q19" s="34">
        <f t="shared" si="9"/>
        <v>4.9780922557526184</v>
      </c>
      <c r="R19" s="34">
        <f t="shared" si="4"/>
        <v>76.061958843479303</v>
      </c>
      <c r="S19" s="34">
        <f>+'[15]Colector Francia II'!$AA$22</f>
        <v>8.4268758490338911</v>
      </c>
      <c r="T19" s="57">
        <f t="shared" si="10"/>
        <v>84.488834692513194</v>
      </c>
      <c r="V19" s="46">
        <f t="shared" si="11"/>
        <v>84.488834692513194</v>
      </c>
      <c r="W19" s="34">
        <f t="shared" si="12"/>
        <v>0</v>
      </c>
    </row>
    <row r="20" spans="2:23" x14ac:dyDescent="0.3">
      <c r="B20" s="2">
        <f t="shared" si="5"/>
        <v>2036</v>
      </c>
      <c r="C20" s="3">
        <f t="shared" si="6"/>
        <v>257.02875484624792</v>
      </c>
      <c r="D20" s="3">
        <f t="shared" si="0"/>
        <v>257.02875484624792</v>
      </c>
      <c r="E20" s="3">
        <f t="shared" si="7"/>
        <v>0.90905326334522951</v>
      </c>
      <c r="F20" s="3">
        <f t="shared" si="7"/>
        <v>599.99999999999989</v>
      </c>
      <c r="G20" s="3">
        <f>+'[16]Colector Francia II'!$AB$22</f>
        <v>85.968036180399494</v>
      </c>
      <c r="H20" s="3">
        <f t="shared" si="1"/>
        <v>171.06071866584841</v>
      </c>
      <c r="L20" s="56">
        <f t="shared" si="8"/>
        <v>2036</v>
      </c>
      <c r="M20" s="9">
        <f>+'[16]Colector Francia II'!$V$22</f>
        <v>12655.198965861155</v>
      </c>
      <c r="N20" s="34">
        <f>+'[16]Colector Francia II'!$U$22</f>
        <v>25.389460082735024</v>
      </c>
      <c r="O20" s="44">
        <f t="shared" si="2"/>
        <v>2.8524853610903533</v>
      </c>
      <c r="P20" s="34">
        <f t="shared" si="3"/>
        <v>72.423063211989529</v>
      </c>
      <c r="Q20" s="34">
        <f t="shared" si="9"/>
        <v>5.0778920165470049</v>
      </c>
      <c r="R20" s="34">
        <f t="shared" si="4"/>
        <v>77.50095522853654</v>
      </c>
      <c r="S20" s="34">
        <f>+'[16]Colector Francia II'!$AA$22</f>
        <v>8.4670809518629522</v>
      </c>
      <c r="T20" s="57">
        <f t="shared" si="10"/>
        <v>85.968036180399494</v>
      </c>
      <c r="V20" s="46">
        <f t="shared" si="11"/>
        <v>85.968036180399494</v>
      </c>
      <c r="W20" s="34">
        <f t="shared" si="12"/>
        <v>0</v>
      </c>
    </row>
    <row r="21" spans="2:23" ht="13.8" thickBot="1" x14ac:dyDescent="0.35">
      <c r="B21" s="2">
        <f t="shared" si="5"/>
        <v>2037</v>
      </c>
      <c r="C21" s="3">
        <f t="shared" si="6"/>
        <v>257.02875484624792</v>
      </c>
      <c r="D21" s="3">
        <f t="shared" si="0"/>
        <v>257.02875484624792</v>
      </c>
      <c r="E21" s="3">
        <f t="shared" si="7"/>
        <v>0.90905326334522951</v>
      </c>
      <c r="F21" s="3">
        <f t="shared" si="7"/>
        <v>599.99999999999989</v>
      </c>
      <c r="G21" s="3">
        <f>+'[17]Colector Francia II'!$AB$22</f>
        <v>87.449095417972785</v>
      </c>
      <c r="H21" s="3">
        <f t="shared" si="1"/>
        <v>169.57965942827514</v>
      </c>
      <c r="I21" s="13">
        <f>+G21/G6-1</f>
        <v>0.32794116920917182</v>
      </c>
      <c r="L21" s="58">
        <f t="shared" si="8"/>
        <v>2037</v>
      </c>
      <c r="M21" s="59">
        <f>+'[17]Colector Francia II'!$V$22</f>
        <v>12753.597387244237</v>
      </c>
      <c r="N21" s="60">
        <f>+'[17]Colector Francia II'!$U$22</f>
        <v>25.890058907131515</v>
      </c>
      <c r="O21" s="61">
        <f t="shared" si="2"/>
        <v>2.8491080509831983</v>
      </c>
      <c r="P21" s="60">
        <f t="shared" si="3"/>
        <v>73.763575272737668</v>
      </c>
      <c r="Q21" s="60">
        <f t="shared" si="9"/>
        <v>5.1780117814263029</v>
      </c>
      <c r="R21" s="60">
        <f t="shared" si="4"/>
        <v>78.941587054163975</v>
      </c>
      <c r="S21" s="60">
        <f>+'[17]Colector Francia II'!$AA$22</f>
        <v>8.5075083638088085</v>
      </c>
      <c r="T21" s="62">
        <f t="shared" si="10"/>
        <v>87.449095417972785</v>
      </c>
      <c r="V21" s="46">
        <f t="shared" si="11"/>
        <v>87.449095417972785</v>
      </c>
      <c r="W21" s="34">
        <f t="shared" si="12"/>
        <v>0</v>
      </c>
    </row>
    <row r="22" spans="2:23" x14ac:dyDescent="0.3">
      <c r="L22" s="43"/>
    </row>
    <row r="23" spans="2:23" x14ac:dyDescent="0.3">
      <c r="L23" s="4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37</v>
      </c>
      <c r="E2" s="6" t="s">
        <v>7</v>
      </c>
      <c r="F2" s="7">
        <f>+'[17]Colector Francia I'!$N$30</f>
        <v>1126.9799999999998</v>
      </c>
      <c r="G2" s="8" t="s">
        <v>8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157</v>
      </c>
      <c r="P3" s="12" t="s">
        <v>158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San Fco'!B6</f>
        <v>2022</v>
      </c>
      <c r="C6" s="3">
        <f>+SUMPRODUCT('[17]Colector Francia I'!$AL$17:$AL$30,'[17]Colector Francia I'!$M$17:$M$30)/F2</f>
        <v>178.76897431045589</v>
      </c>
      <c r="D6" s="3">
        <f t="shared" ref="D6:D21" si="0">+C6</f>
        <v>178.76897431045589</v>
      </c>
      <c r="E6" s="3">
        <f>D6/(0.25*PI()*(F6/1000)^2)/1000</f>
        <v>0.76633238982918139</v>
      </c>
      <c r="F6" s="3">
        <f>+SUMPRODUCT('[17]Colector Francia I'!$F$17:$F$30,'[17]Colector Francia I'!$M$17:$M$30)/F2</f>
        <v>544.99503096771912</v>
      </c>
      <c r="G6" s="3">
        <f>+'[2]Colector Francia I'!$AB$30</f>
        <v>59.676890938509487</v>
      </c>
      <c r="H6" s="3">
        <f t="shared" ref="H6:H21" si="1">+D6-G6</f>
        <v>119.0920833719464</v>
      </c>
      <c r="L6" s="56">
        <f>+B6</f>
        <v>2022</v>
      </c>
      <c r="M6" s="9">
        <f>+'[2]Colector Francia I'!$V$30</f>
        <v>10232.30324040133</v>
      </c>
      <c r="N6" s="34">
        <f>+'[2]Colector Francia I'!$U$30</f>
        <v>16.4521766251648</v>
      </c>
      <c r="O6" s="44">
        <f t="shared" ref="O6:O21" si="2">1+(14/(4+(SQRT(M6/1000))))</f>
        <v>2.9447693410558657</v>
      </c>
      <c r="P6" s="34">
        <f t="shared" ref="P6:P21" si="3">+O6*N6</f>
        <v>48.447865319421261</v>
      </c>
      <c r="Q6" s="34">
        <f>+N6*$Q$4</f>
        <v>3.2904353250329601</v>
      </c>
      <c r="R6" s="34">
        <f t="shared" ref="R6:R21" si="4">+Q6+P6</f>
        <v>51.73830064445422</v>
      </c>
      <c r="S6" s="34">
        <f>+'[2]Colector Francia I'!$AA$30</f>
        <v>7.9385902940552651</v>
      </c>
      <c r="T6" s="57">
        <f>+S6+R6</f>
        <v>59.676890938509487</v>
      </c>
      <c r="V6" s="46">
        <f>+G6</f>
        <v>59.676890938509487</v>
      </c>
      <c r="W6" s="34">
        <f>+V6-T6</f>
        <v>0</v>
      </c>
    </row>
    <row r="7" spans="1:23" x14ac:dyDescent="0.3">
      <c r="B7" s="2">
        <f t="shared" ref="B7:B21" si="5">+B6+1</f>
        <v>2023</v>
      </c>
      <c r="C7" s="3">
        <f t="shared" ref="C7:C21" si="6">+C6</f>
        <v>178.76897431045589</v>
      </c>
      <c r="D7" s="3">
        <f t="shared" si="0"/>
        <v>178.76897431045589</v>
      </c>
      <c r="E7" s="3">
        <f t="shared" ref="E7:F21" si="7">+E6</f>
        <v>0.76633238982918139</v>
      </c>
      <c r="F7" s="3">
        <f t="shared" si="7"/>
        <v>544.99503096771912</v>
      </c>
      <c r="G7" s="3">
        <f>+'[3]Colector Francia I'!$AB$30</f>
        <v>61.298043334821386</v>
      </c>
      <c r="H7" s="3">
        <f t="shared" si="1"/>
        <v>117.4709309756345</v>
      </c>
      <c r="L7" s="56">
        <f t="shared" ref="L7:L21" si="8">+B7</f>
        <v>2023</v>
      </c>
      <c r="M7" s="9">
        <f>+'[3]Colector Francia I'!$V$30</f>
        <v>10315.157689230822</v>
      </c>
      <c r="N7" s="34">
        <f>+'[3]Colector Francia I'!$U$30</f>
        <v>16.971290091533504</v>
      </c>
      <c r="O7" s="44">
        <f t="shared" si="2"/>
        <v>2.9412839479892385</v>
      </c>
      <c r="P7" s="34">
        <f t="shared" si="3"/>
        <v>49.917383122896311</v>
      </c>
      <c r="Q7" s="34">
        <f t="shared" ref="Q7:Q21" si="9">+N7*$Q$4</f>
        <v>3.3942580183067008</v>
      </c>
      <c r="R7" s="34">
        <f t="shared" si="4"/>
        <v>53.311641141203012</v>
      </c>
      <c r="S7" s="34">
        <f>+'[3]Colector Francia I'!$AA$30</f>
        <v>7.9864021936183711</v>
      </c>
      <c r="T7" s="57">
        <f t="shared" ref="T7:T21" si="10">+S7+R7</f>
        <v>61.298043334821386</v>
      </c>
      <c r="V7" s="46">
        <f t="shared" ref="V7:V21" si="11">+G7</f>
        <v>61.298043334821386</v>
      </c>
      <c r="W7" s="34">
        <f t="shared" ref="W7:W21" si="12">+V7-T7</f>
        <v>0</v>
      </c>
    </row>
    <row r="8" spans="1:23" x14ac:dyDescent="0.3">
      <c r="B8" s="2">
        <f t="shared" si="5"/>
        <v>2024</v>
      </c>
      <c r="C8" s="3">
        <f t="shared" si="6"/>
        <v>178.76897431045589</v>
      </c>
      <c r="D8" s="3">
        <f t="shared" si="0"/>
        <v>178.76897431045589</v>
      </c>
      <c r="E8" s="3">
        <f t="shared" si="7"/>
        <v>0.76633238982918139</v>
      </c>
      <c r="F8" s="3">
        <f t="shared" si="7"/>
        <v>544.99503096771912</v>
      </c>
      <c r="G8" s="3">
        <f>+'[4]Colector Francia I'!$AB$30</f>
        <v>62.504663145518194</v>
      </c>
      <c r="H8" s="3">
        <f t="shared" si="1"/>
        <v>116.26431116493769</v>
      </c>
      <c r="L8" s="56">
        <f t="shared" si="8"/>
        <v>2024</v>
      </c>
      <c r="M8" s="9">
        <f>+'[4]Colector Francia I'!$V$30</f>
        <v>10398.392553344194</v>
      </c>
      <c r="N8" s="34">
        <f>+'[4]Colector Francia I'!$U$30</f>
        <v>17.363789189318862</v>
      </c>
      <c r="O8" s="44">
        <f t="shared" si="2"/>
        <v>2.9378090992754524</v>
      </c>
      <c r="P8" s="34">
        <f t="shared" si="3"/>
        <v>51.011497878281681</v>
      </c>
      <c r="Q8" s="34">
        <f t="shared" si="9"/>
        <v>3.4727578378637727</v>
      </c>
      <c r="R8" s="34">
        <f t="shared" si="4"/>
        <v>54.484255716145455</v>
      </c>
      <c r="S8" s="34">
        <f>+'[4]Colector Francia I'!$AA$30</f>
        <v>8.020407429372737</v>
      </c>
      <c r="T8" s="57">
        <f t="shared" si="10"/>
        <v>62.504663145518194</v>
      </c>
      <c r="V8" s="46">
        <f t="shared" si="11"/>
        <v>62.504663145518194</v>
      </c>
      <c r="W8" s="34">
        <f t="shared" si="12"/>
        <v>0</v>
      </c>
    </row>
    <row r="9" spans="1:23" x14ac:dyDescent="0.3">
      <c r="B9" s="2">
        <f t="shared" si="5"/>
        <v>2025</v>
      </c>
      <c r="C9" s="3">
        <f t="shared" si="6"/>
        <v>178.76897431045589</v>
      </c>
      <c r="D9" s="3">
        <f t="shared" si="0"/>
        <v>178.76897431045589</v>
      </c>
      <c r="E9" s="3">
        <f t="shared" si="7"/>
        <v>0.76633238982918139</v>
      </c>
      <c r="F9" s="3">
        <f t="shared" si="7"/>
        <v>544.99503096771912</v>
      </c>
      <c r="G9" s="3">
        <f>+'[5]Colector Francia I'!$AB$30</f>
        <v>63.714613401874175</v>
      </c>
      <c r="H9" s="3">
        <f t="shared" si="1"/>
        <v>115.05436090858171</v>
      </c>
      <c r="L9" s="56">
        <f t="shared" si="8"/>
        <v>2025</v>
      </c>
      <c r="M9" s="9">
        <f>+'[5]Colector Francia I'!$V$30</f>
        <v>10481.931749684674</v>
      </c>
      <c r="N9" s="34">
        <f>+'[5]Colector Francia I'!$U$30</f>
        <v>17.758051036540074</v>
      </c>
      <c r="O9" s="44">
        <f t="shared" si="2"/>
        <v>2.9343479120789588</v>
      </c>
      <c r="P9" s="34">
        <f t="shared" si="3"/>
        <v>52.10829998166296</v>
      </c>
      <c r="Q9" s="34">
        <f t="shared" si="9"/>
        <v>3.5516102073080149</v>
      </c>
      <c r="R9" s="34">
        <f t="shared" si="4"/>
        <v>55.659910188970976</v>
      </c>
      <c r="S9" s="34">
        <f>+'[5]Colector Francia I'!$AA$30</f>
        <v>8.054703212903199</v>
      </c>
      <c r="T9" s="57">
        <f t="shared" si="10"/>
        <v>63.714613401874175</v>
      </c>
      <c r="V9" s="46">
        <f t="shared" si="11"/>
        <v>63.714613401874175</v>
      </c>
      <c r="W9" s="34">
        <f t="shared" si="12"/>
        <v>0</v>
      </c>
    </row>
    <row r="10" spans="1:23" x14ac:dyDescent="0.3">
      <c r="B10" s="2">
        <f t="shared" si="5"/>
        <v>2026</v>
      </c>
      <c r="C10" s="3">
        <f t="shared" si="6"/>
        <v>178.76897431045589</v>
      </c>
      <c r="D10" s="3">
        <f t="shared" si="0"/>
        <v>178.76897431045589</v>
      </c>
      <c r="E10" s="3">
        <f t="shared" si="7"/>
        <v>0.76633238982918139</v>
      </c>
      <c r="F10" s="3">
        <f t="shared" si="7"/>
        <v>544.99503096771912</v>
      </c>
      <c r="G10" s="3">
        <f>+'[6]Colector Francia I'!$AB$30</f>
        <v>64.937011888237762</v>
      </c>
      <c r="H10" s="3">
        <f t="shared" si="1"/>
        <v>113.83196242221813</v>
      </c>
      <c r="L10" s="56">
        <f t="shared" si="8"/>
        <v>2026</v>
      </c>
      <c r="M10" s="9">
        <f>+'[6]Colector Francia I'!$V$30</f>
        <v>10565.927444365811</v>
      </c>
      <c r="N10" s="34">
        <f>+'[6]Colector Francia I'!$U$30</f>
        <v>18.156930018273162</v>
      </c>
      <c r="O10" s="44">
        <f t="shared" si="2"/>
        <v>2.9308940584578353</v>
      </c>
      <c r="P10" s="34">
        <f t="shared" si="3"/>
        <v>53.216038310391525</v>
      </c>
      <c r="Q10" s="34">
        <f t="shared" si="9"/>
        <v>3.6313860036546326</v>
      </c>
      <c r="R10" s="34">
        <f t="shared" si="4"/>
        <v>56.847424314046158</v>
      </c>
      <c r="S10" s="34">
        <f>+'[6]Colector Francia I'!$AA$30</f>
        <v>8.0895875741916097</v>
      </c>
      <c r="T10" s="57">
        <f t="shared" si="10"/>
        <v>64.937011888237762</v>
      </c>
      <c r="V10" s="46">
        <f t="shared" si="11"/>
        <v>64.937011888237762</v>
      </c>
      <c r="W10" s="34">
        <f t="shared" si="12"/>
        <v>0</v>
      </c>
    </row>
    <row r="11" spans="1:23" x14ac:dyDescent="0.3">
      <c r="B11" s="2">
        <f t="shared" si="5"/>
        <v>2027</v>
      </c>
      <c r="C11" s="3">
        <f t="shared" si="6"/>
        <v>178.76897431045589</v>
      </c>
      <c r="D11" s="3">
        <f t="shared" si="0"/>
        <v>178.76897431045589</v>
      </c>
      <c r="E11" s="3">
        <f t="shared" si="7"/>
        <v>0.76633238982918139</v>
      </c>
      <c r="F11" s="3">
        <f t="shared" si="7"/>
        <v>544.99503096771912</v>
      </c>
      <c r="G11" s="3">
        <f>+'[7]Colector Francia I'!$AB$30</f>
        <v>66.169565022523742</v>
      </c>
      <c r="H11" s="3">
        <f t="shared" si="1"/>
        <v>112.59940928793215</v>
      </c>
      <c r="L11" s="56">
        <f t="shared" si="8"/>
        <v>2027</v>
      </c>
      <c r="M11" s="9">
        <f>+'[7]Colector Francia I'!$V$30</f>
        <v>10650.303554330831</v>
      </c>
      <c r="N11" s="34">
        <f>+'[7]Colector Francia I'!$U$30</f>
        <v>18.559709127804052</v>
      </c>
      <c r="O11" s="44">
        <f t="shared" si="2"/>
        <v>2.92745067866589</v>
      </c>
      <c r="P11" s="34">
        <f t="shared" si="3"/>
        <v>54.332633082031485</v>
      </c>
      <c r="Q11" s="34">
        <f t="shared" si="9"/>
        <v>3.7119418255608103</v>
      </c>
      <c r="R11" s="34">
        <f t="shared" si="4"/>
        <v>58.044574907592292</v>
      </c>
      <c r="S11" s="34">
        <f>+'[7]Colector Francia I'!$AA$30</f>
        <v>8.1249901149314532</v>
      </c>
      <c r="T11" s="57">
        <f t="shared" si="10"/>
        <v>66.169565022523742</v>
      </c>
      <c r="V11" s="46">
        <f t="shared" si="11"/>
        <v>66.169565022523742</v>
      </c>
      <c r="W11" s="34">
        <f t="shared" si="12"/>
        <v>0</v>
      </c>
    </row>
    <row r="12" spans="1:23" x14ac:dyDescent="0.3">
      <c r="B12" s="2">
        <f t="shared" si="5"/>
        <v>2028</v>
      </c>
      <c r="C12" s="3">
        <f t="shared" si="6"/>
        <v>178.76897431045589</v>
      </c>
      <c r="D12" s="3">
        <f t="shared" si="0"/>
        <v>178.76897431045589</v>
      </c>
      <c r="E12" s="3">
        <f t="shared" si="7"/>
        <v>0.76633238982918139</v>
      </c>
      <c r="F12" s="3">
        <f t="shared" si="7"/>
        <v>544.99503096771912</v>
      </c>
      <c r="G12" s="3">
        <f>+'[8]Colector Francia I'!$AB$30</f>
        <v>67.417016135707101</v>
      </c>
      <c r="H12" s="3">
        <f t="shared" si="1"/>
        <v>111.35195817474879</v>
      </c>
      <c r="L12" s="56">
        <f t="shared" si="8"/>
        <v>2028</v>
      </c>
      <c r="M12" s="9">
        <f>+'[8]Colector Francia I'!$V$30</f>
        <v>10735.136162636509</v>
      </c>
      <c r="N12" s="34">
        <f>+'[8]Colector Francia I'!$U$30</f>
        <v>18.96788366938544</v>
      </c>
      <c r="O12" s="44">
        <f t="shared" si="2"/>
        <v>2.9240146782837773</v>
      </c>
      <c r="P12" s="34">
        <f t="shared" si="3"/>
        <v>55.46237026526218</v>
      </c>
      <c r="Q12" s="34">
        <f t="shared" si="9"/>
        <v>3.7935767338770883</v>
      </c>
      <c r="R12" s="34">
        <f t="shared" si="4"/>
        <v>59.255946999139269</v>
      </c>
      <c r="S12" s="34">
        <f>+'[8]Colector Francia I'!$AA$30</f>
        <v>8.1610691365678321</v>
      </c>
      <c r="T12" s="57">
        <f t="shared" si="10"/>
        <v>67.417016135707101</v>
      </c>
      <c r="V12" s="46">
        <f t="shared" si="11"/>
        <v>67.417016135707101</v>
      </c>
      <c r="W12" s="34">
        <f t="shared" si="12"/>
        <v>0</v>
      </c>
    </row>
    <row r="13" spans="1:23" x14ac:dyDescent="0.3">
      <c r="B13" s="2">
        <f t="shared" si="5"/>
        <v>2029</v>
      </c>
      <c r="C13" s="3">
        <f t="shared" si="6"/>
        <v>178.76897431045589</v>
      </c>
      <c r="D13" s="3">
        <f t="shared" si="0"/>
        <v>178.76897431045589</v>
      </c>
      <c r="E13" s="3">
        <f t="shared" si="7"/>
        <v>0.76633238982918139</v>
      </c>
      <c r="F13" s="3">
        <f t="shared" si="7"/>
        <v>544.99503096771912</v>
      </c>
      <c r="G13" s="3">
        <f>+'[9]Colector Francia I'!$AB$30</f>
        <v>68.667333597156528</v>
      </c>
      <c r="H13" s="3">
        <f t="shared" si="1"/>
        <v>110.10164071329936</v>
      </c>
      <c r="L13" s="56">
        <f t="shared" si="8"/>
        <v>2029</v>
      </c>
      <c r="M13" s="9">
        <f>+'[9]Colector Francia I'!$V$30</f>
        <v>10820.273103169291</v>
      </c>
      <c r="N13" s="34">
        <f>+'[9]Colector Francia I'!$U$30</f>
        <v>19.377703151037885</v>
      </c>
      <c r="O13" s="44">
        <f t="shared" si="2"/>
        <v>2.9205921956201721</v>
      </c>
      <c r="P13" s="34">
        <f t="shared" si="3"/>
        <v>56.594368591965662</v>
      </c>
      <c r="Q13" s="34">
        <f t="shared" si="9"/>
        <v>3.8755406302075772</v>
      </c>
      <c r="R13" s="34">
        <f t="shared" si="4"/>
        <v>60.469909222173236</v>
      </c>
      <c r="S13" s="34">
        <f>+'[9]Colector Francia I'!$AA$30</f>
        <v>8.1974243749832958</v>
      </c>
      <c r="T13" s="57">
        <f t="shared" si="10"/>
        <v>68.667333597156528</v>
      </c>
      <c r="V13" s="46">
        <f t="shared" si="11"/>
        <v>68.667333597156528</v>
      </c>
      <c r="W13" s="34">
        <f t="shared" si="12"/>
        <v>0</v>
      </c>
    </row>
    <row r="14" spans="1:23" x14ac:dyDescent="0.3">
      <c r="B14" s="2">
        <f t="shared" si="5"/>
        <v>2030</v>
      </c>
      <c r="C14" s="3">
        <f t="shared" si="6"/>
        <v>178.76897431045589</v>
      </c>
      <c r="D14" s="3">
        <f t="shared" si="0"/>
        <v>178.76897431045589</v>
      </c>
      <c r="E14" s="3">
        <f t="shared" si="7"/>
        <v>0.76633238982918139</v>
      </c>
      <c r="F14" s="3">
        <f t="shared" si="7"/>
        <v>544.99503096771912</v>
      </c>
      <c r="G14" s="3">
        <f>+'[10]Colector Francia I'!$AB$30</f>
        <v>69.930130247322268</v>
      </c>
      <c r="H14" s="3">
        <f t="shared" si="1"/>
        <v>108.83884406313362</v>
      </c>
      <c r="L14" s="56">
        <f t="shared" si="8"/>
        <v>2030</v>
      </c>
      <c r="M14" s="9">
        <f>+'[10]Colector Francia I'!$V$30</f>
        <v>10905.866542042733</v>
      </c>
      <c r="N14" s="34">
        <f>+'[10]Colector Francia I'!$U$30</f>
        <v>19.792187986602972</v>
      </c>
      <c r="O14" s="44">
        <f t="shared" si="2"/>
        <v>2.9171770880249905</v>
      </c>
      <c r="P14" s="34">
        <f t="shared" si="3"/>
        <v>57.737317316401658</v>
      </c>
      <c r="Q14" s="34">
        <f t="shared" si="9"/>
        <v>3.9584375973205947</v>
      </c>
      <c r="R14" s="34">
        <f t="shared" si="4"/>
        <v>61.695754913722254</v>
      </c>
      <c r="S14" s="34">
        <f>+'[10]Colector Francia I'!$AA$30</f>
        <v>8.2343753336000063</v>
      </c>
      <c r="T14" s="57">
        <f t="shared" si="10"/>
        <v>69.930130247322268</v>
      </c>
      <c r="V14" s="46">
        <f t="shared" si="11"/>
        <v>69.930130247322268</v>
      </c>
      <c r="W14" s="34">
        <f t="shared" si="12"/>
        <v>0</v>
      </c>
    </row>
    <row r="15" spans="1:23" x14ac:dyDescent="0.3">
      <c r="B15" s="2">
        <f t="shared" si="5"/>
        <v>2031</v>
      </c>
      <c r="C15" s="3">
        <f t="shared" si="6"/>
        <v>178.76897431045589</v>
      </c>
      <c r="D15" s="3">
        <f t="shared" si="0"/>
        <v>178.76897431045589</v>
      </c>
      <c r="E15" s="3">
        <f t="shared" si="7"/>
        <v>0.76633238982918139</v>
      </c>
      <c r="F15" s="3">
        <f t="shared" si="7"/>
        <v>544.99503096771912</v>
      </c>
      <c r="G15" s="3">
        <f>+'[11]Colector Francia I'!$AB$30</f>
        <v>71.202900687731372</v>
      </c>
      <c r="H15" s="3">
        <f t="shared" si="1"/>
        <v>107.56607362272452</v>
      </c>
      <c r="L15" s="56">
        <f t="shared" si="8"/>
        <v>2031</v>
      </c>
      <c r="M15" s="9">
        <f>+'[11]Colector Francia I'!$V$30</f>
        <v>10991.916479256832</v>
      </c>
      <c r="N15" s="34">
        <f>+'[11]Colector Francia I'!$U$30</f>
        <v>20.210572949965854</v>
      </c>
      <c r="O15" s="44">
        <f t="shared" si="2"/>
        <v>2.9137693976758596</v>
      </c>
      <c r="P15" s="34">
        <f t="shared" si="3"/>
        <v>58.888948971106032</v>
      </c>
      <c r="Q15" s="34">
        <f t="shared" si="9"/>
        <v>4.0421145899931714</v>
      </c>
      <c r="R15" s="34">
        <f t="shared" si="4"/>
        <v>62.931063561099201</v>
      </c>
      <c r="S15" s="34">
        <f>+'[11]Colector Francia I'!$AA$30</f>
        <v>8.2718371266321746</v>
      </c>
      <c r="T15" s="57">
        <f t="shared" si="10"/>
        <v>71.202900687731372</v>
      </c>
      <c r="V15" s="46">
        <f t="shared" si="11"/>
        <v>71.202900687731372</v>
      </c>
      <c r="W15" s="34">
        <f t="shared" si="12"/>
        <v>0</v>
      </c>
    </row>
    <row r="16" spans="1:23" x14ac:dyDescent="0.3">
      <c r="B16" s="2">
        <f t="shared" si="5"/>
        <v>2032</v>
      </c>
      <c r="C16" s="3">
        <f t="shared" si="6"/>
        <v>178.76897431045589</v>
      </c>
      <c r="D16" s="3">
        <f t="shared" si="0"/>
        <v>178.76897431045589</v>
      </c>
      <c r="E16" s="3">
        <f t="shared" si="7"/>
        <v>0.76633238982918139</v>
      </c>
      <c r="F16" s="3">
        <f t="shared" si="7"/>
        <v>544.99503096771912</v>
      </c>
      <c r="G16" s="3">
        <f>+'[12]Colector Francia I'!$AB$30</f>
        <v>72.490658466122724</v>
      </c>
      <c r="H16" s="3">
        <f t="shared" si="1"/>
        <v>106.27831584433316</v>
      </c>
      <c r="L16" s="56">
        <f t="shared" si="8"/>
        <v>2032</v>
      </c>
      <c r="M16" s="9">
        <f>+'[12]Colector Francia I'!$V$30</f>
        <v>11078.42291481159</v>
      </c>
      <c r="N16" s="34">
        <f>+'[12]Colector Francia I'!$U$30</f>
        <v>20.63442293534327</v>
      </c>
      <c r="O16" s="44">
        <f t="shared" si="2"/>
        <v>2.910369165149147</v>
      </c>
      <c r="P16" s="34">
        <f t="shared" si="3"/>
        <v>60.053788251669403</v>
      </c>
      <c r="Q16" s="34">
        <f t="shared" si="9"/>
        <v>4.1268845870686546</v>
      </c>
      <c r="R16" s="34">
        <f t="shared" si="4"/>
        <v>64.180672838738062</v>
      </c>
      <c r="S16" s="34">
        <f>+'[12]Colector Francia I'!$AA$30</f>
        <v>8.3099856273846644</v>
      </c>
      <c r="T16" s="57">
        <f t="shared" si="10"/>
        <v>72.490658466122724</v>
      </c>
      <c r="V16" s="46">
        <f t="shared" si="11"/>
        <v>72.490658466122724</v>
      </c>
      <c r="W16" s="34">
        <f t="shared" si="12"/>
        <v>0</v>
      </c>
    </row>
    <row r="17" spans="2:23" x14ac:dyDescent="0.3">
      <c r="B17" s="2">
        <f t="shared" si="5"/>
        <v>2033</v>
      </c>
      <c r="C17" s="3">
        <f t="shared" si="6"/>
        <v>178.76897431045589</v>
      </c>
      <c r="D17" s="3">
        <f t="shared" si="0"/>
        <v>178.76897431045589</v>
      </c>
      <c r="E17" s="3">
        <f t="shared" si="7"/>
        <v>0.76633238982918139</v>
      </c>
      <c r="F17" s="3">
        <f t="shared" si="7"/>
        <v>544.99503096771912</v>
      </c>
      <c r="G17" s="3">
        <f>+'[13]Colector Francia I'!$AB$30</f>
        <v>73.780611179369544</v>
      </c>
      <c r="H17" s="3">
        <f t="shared" si="1"/>
        <v>104.98836313108634</v>
      </c>
      <c r="L17" s="56">
        <f t="shared" si="8"/>
        <v>2033</v>
      </c>
      <c r="M17" s="9">
        <f>+'[13]Colector Francia I'!$V$30</f>
        <v>11165.461931763784</v>
      </c>
      <c r="N17" s="34">
        <f>+'[13]Colector Francia I'!$U$30</f>
        <v>21.05980005142694</v>
      </c>
      <c r="O17" s="44">
        <f t="shared" si="2"/>
        <v>2.9069734722439931</v>
      </c>
      <c r="P17" s="34">
        <f t="shared" si="3"/>
        <v>61.220280080260792</v>
      </c>
      <c r="Q17" s="34">
        <f t="shared" si="9"/>
        <v>4.211960010285388</v>
      </c>
      <c r="R17" s="34">
        <f t="shared" si="4"/>
        <v>65.432240090546173</v>
      </c>
      <c r="S17" s="34">
        <f>+'[13]Colector Francia I'!$AA$30</f>
        <v>8.3483710888233738</v>
      </c>
      <c r="T17" s="57">
        <f t="shared" si="10"/>
        <v>73.780611179369544</v>
      </c>
      <c r="V17" s="46">
        <f t="shared" si="11"/>
        <v>73.780611179369544</v>
      </c>
      <c r="W17" s="34">
        <f t="shared" si="12"/>
        <v>0</v>
      </c>
    </row>
    <row r="18" spans="2:23" x14ac:dyDescent="0.3">
      <c r="B18" s="2">
        <f t="shared" si="5"/>
        <v>2034</v>
      </c>
      <c r="C18" s="3">
        <f t="shared" si="6"/>
        <v>178.76897431045589</v>
      </c>
      <c r="D18" s="3">
        <f t="shared" si="0"/>
        <v>178.76897431045589</v>
      </c>
      <c r="E18" s="3">
        <f t="shared" si="7"/>
        <v>0.76633238982918139</v>
      </c>
      <c r="F18" s="3">
        <f t="shared" si="7"/>
        <v>544.99503096771912</v>
      </c>
      <c r="G18" s="3">
        <f>+'[14]Colector Francia I'!$AB$30</f>
        <v>75.083212188547023</v>
      </c>
      <c r="H18" s="3">
        <f t="shared" si="1"/>
        <v>103.68576212190887</v>
      </c>
      <c r="L18" s="56">
        <f t="shared" si="8"/>
        <v>2034</v>
      </c>
      <c r="M18" s="9">
        <f>+'[14]Colector Francia I'!$V$30</f>
        <v>11252.805280943083</v>
      </c>
      <c r="N18" s="34">
        <f>+'[14]Colector Francia I'!$U$30</f>
        <v>21.489890740824023</v>
      </c>
      <c r="O18" s="44">
        <f t="shared" si="2"/>
        <v>2.9035912280707565</v>
      </c>
      <c r="P18" s="34">
        <f t="shared" si="3"/>
        <v>62.397858247255606</v>
      </c>
      <c r="Q18" s="34">
        <f t="shared" si="9"/>
        <v>4.2979781481648045</v>
      </c>
      <c r="R18" s="34">
        <f t="shared" si="4"/>
        <v>66.695836395420415</v>
      </c>
      <c r="S18" s="34">
        <f>+'[14]Colector Francia I'!$AA$30</f>
        <v>8.387375793126612</v>
      </c>
      <c r="T18" s="57">
        <f t="shared" si="10"/>
        <v>75.083212188547023</v>
      </c>
      <c r="V18" s="46">
        <f t="shared" si="11"/>
        <v>75.083212188547023</v>
      </c>
      <c r="W18" s="34">
        <f t="shared" si="12"/>
        <v>0</v>
      </c>
    </row>
    <row r="19" spans="2:23" x14ac:dyDescent="0.3">
      <c r="B19" s="2">
        <f t="shared" si="5"/>
        <v>2035</v>
      </c>
      <c r="C19" s="3">
        <f t="shared" si="6"/>
        <v>178.76897431045589</v>
      </c>
      <c r="D19" s="3">
        <f t="shared" si="0"/>
        <v>178.76897431045589</v>
      </c>
      <c r="E19" s="3">
        <f t="shared" si="7"/>
        <v>0.76633238982918139</v>
      </c>
      <c r="F19" s="3">
        <f t="shared" si="7"/>
        <v>544.99503096771912</v>
      </c>
      <c r="G19" s="3">
        <f>+'[15]Colector Francia I'!$AB$30</f>
        <v>76.39552767864879</v>
      </c>
      <c r="H19" s="3">
        <f t="shared" si="1"/>
        <v>102.3734466318071</v>
      </c>
      <c r="L19" s="56">
        <f t="shared" si="8"/>
        <v>2035</v>
      </c>
      <c r="M19" s="9">
        <f>+'[15]Colector Francia I'!$V$30</f>
        <v>11340.757294576591</v>
      </c>
      <c r="N19" s="34">
        <f>+'[15]Colector Francia I'!$U$30</f>
        <v>21.923881558018898</v>
      </c>
      <c r="O19" s="44">
        <f t="shared" si="2"/>
        <v>2.9002106834843131</v>
      </c>
      <c r="P19" s="34">
        <f t="shared" si="3"/>
        <v>63.583875518011119</v>
      </c>
      <c r="Q19" s="34">
        <f t="shared" si="9"/>
        <v>4.3847763116037797</v>
      </c>
      <c r="R19" s="34">
        <f t="shared" si="4"/>
        <v>67.968651829614899</v>
      </c>
      <c r="S19" s="34">
        <f>+'[15]Colector Francia I'!$AA$30</f>
        <v>8.4268758490338911</v>
      </c>
      <c r="T19" s="57">
        <f t="shared" si="10"/>
        <v>76.39552767864879</v>
      </c>
      <c r="V19" s="46">
        <f t="shared" si="11"/>
        <v>76.39552767864879</v>
      </c>
      <c r="W19" s="34">
        <f t="shared" si="12"/>
        <v>0</v>
      </c>
    </row>
    <row r="20" spans="2:23" x14ac:dyDescent="0.3">
      <c r="B20" s="2">
        <f t="shared" si="5"/>
        <v>2036</v>
      </c>
      <c r="C20" s="3">
        <f t="shared" si="6"/>
        <v>178.76897431045589</v>
      </c>
      <c r="D20" s="3">
        <f t="shared" si="0"/>
        <v>178.76897431045589</v>
      </c>
      <c r="E20" s="3">
        <f t="shared" si="7"/>
        <v>0.76633238982918139</v>
      </c>
      <c r="F20" s="3">
        <f t="shared" si="7"/>
        <v>544.99503096771912</v>
      </c>
      <c r="G20" s="3">
        <f>+'[16]Colector Francia I'!$AB$30</f>
        <v>77.722989425427144</v>
      </c>
      <c r="H20" s="3">
        <f t="shared" si="1"/>
        <v>101.04598488502874</v>
      </c>
      <c r="L20" s="56">
        <f t="shared" si="8"/>
        <v>2036</v>
      </c>
      <c r="M20" s="9">
        <f>+'[16]Colector Francia I'!$V$30</f>
        <v>11429.089723493984</v>
      </c>
      <c r="N20" s="34">
        <f>+'[16]Colector Francia I'!$U$30</f>
        <v>22.363406987192359</v>
      </c>
      <c r="O20" s="44">
        <f t="shared" si="2"/>
        <v>2.8968406787582683</v>
      </c>
      <c r="P20" s="34">
        <f t="shared" si="3"/>
        <v>64.783227076125712</v>
      </c>
      <c r="Q20" s="34">
        <f t="shared" si="9"/>
        <v>4.472681397438472</v>
      </c>
      <c r="R20" s="34">
        <f t="shared" si="4"/>
        <v>69.25590847356419</v>
      </c>
      <c r="S20" s="34">
        <f>+'[16]Colector Francia I'!$AA$30</f>
        <v>8.4670809518629522</v>
      </c>
      <c r="T20" s="57">
        <f t="shared" si="10"/>
        <v>77.722989425427144</v>
      </c>
      <c r="V20" s="46">
        <f t="shared" si="11"/>
        <v>77.722989425427144</v>
      </c>
      <c r="W20" s="34">
        <f t="shared" si="12"/>
        <v>0</v>
      </c>
    </row>
    <row r="21" spans="2:23" ht="13.8" thickBot="1" x14ac:dyDescent="0.35">
      <c r="B21" s="2">
        <f t="shared" si="5"/>
        <v>2037</v>
      </c>
      <c r="C21" s="3">
        <f t="shared" si="6"/>
        <v>178.76897431045589</v>
      </c>
      <c r="D21" s="3">
        <f t="shared" si="0"/>
        <v>178.76897431045589</v>
      </c>
      <c r="E21" s="3">
        <f t="shared" si="7"/>
        <v>0.76633238982918139</v>
      </c>
      <c r="F21" s="3">
        <f t="shared" si="7"/>
        <v>544.99503096771912</v>
      </c>
      <c r="G21" s="3">
        <f>+'[17]Colector Francia I'!$AB$30</f>
        <v>79.052179481818229</v>
      </c>
      <c r="H21" s="3">
        <f t="shared" si="1"/>
        <v>99.71679482863766</v>
      </c>
      <c r="I21" s="13">
        <f>+G21/G6-1</f>
        <v>0.32466987201583364</v>
      </c>
      <c r="L21" s="58">
        <f t="shared" si="8"/>
        <v>2037</v>
      </c>
      <c r="M21" s="59">
        <f>+'[17]Colector Francia I'!$V$30</f>
        <v>11517.95473380881</v>
      </c>
      <c r="N21" s="60">
        <f>+'[17]Colector Francia I'!$U$30</f>
        <v>22.804341737707258</v>
      </c>
      <c r="O21" s="61">
        <f t="shared" si="2"/>
        <v>2.8934754411859624</v>
      </c>
      <c r="P21" s="60">
        <f t="shared" si="3"/>
        <v>65.98380277046796</v>
      </c>
      <c r="Q21" s="60">
        <f t="shared" si="9"/>
        <v>4.5608683475414518</v>
      </c>
      <c r="R21" s="60">
        <f t="shared" si="4"/>
        <v>70.544671118009418</v>
      </c>
      <c r="S21" s="60">
        <f>+'[17]Colector Francia I'!$AA$30</f>
        <v>8.5075083638088085</v>
      </c>
      <c r="T21" s="62">
        <f t="shared" si="10"/>
        <v>79.052179481818229</v>
      </c>
      <c r="V21" s="46">
        <f t="shared" si="11"/>
        <v>79.052179481818229</v>
      </c>
      <c r="W21" s="34">
        <f t="shared" si="12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9" width="11.44140625" style="12"/>
    <col min="10" max="10" width="11.44140625" style="12" customWidth="1"/>
    <col min="11" max="16384" width="11.44140625" style="12"/>
  </cols>
  <sheetData>
    <row r="1" spans="1:22" ht="13.8" thickBot="1" x14ac:dyDescent="0.35"/>
    <row r="2" spans="1:22" x14ac:dyDescent="0.3">
      <c r="B2" s="5" t="s">
        <v>36</v>
      </c>
      <c r="E2" s="6" t="s">
        <v>7</v>
      </c>
      <c r="F2" s="7">
        <f>+'[17]Colector San Fco'!$N$35</f>
        <v>1024.3399999999997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171</v>
      </c>
      <c r="O3" s="12" t="s">
        <v>172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CUT'!B6</f>
        <v>2022</v>
      </c>
      <c r="C6" s="3">
        <f>+SUMPRODUCT('[17]Colector San Fco'!$AL$17:$AL$35,'[17]Colector San Fco'!$M$17:$M$35)/F2</f>
        <v>28.315951744784499</v>
      </c>
      <c r="D6" s="3">
        <f t="shared" ref="D6:D21" si="0">+C6</f>
        <v>28.315951744784499</v>
      </c>
      <c r="E6" s="3">
        <f>D6/(0.25*PI()*(F6/1000)^2)/1000</f>
        <v>0.72237109842471026</v>
      </c>
      <c r="F6" s="3">
        <f>+SUMPRODUCT('[17]Colector San Fco'!$F$17:$F$35,'[17]Colector San Fco'!$M$17:$M$35)/F2</f>
        <v>223.4037507077729</v>
      </c>
      <c r="G6" s="3">
        <f>+'[2]Colector San Fco'!$AB$35</f>
        <v>3.8095942806702481</v>
      </c>
      <c r="H6" s="3">
        <f t="shared" ref="H6:H21" si="1">+D6-G6</f>
        <v>24.506357464114252</v>
      </c>
      <c r="K6" s="56">
        <f>+B6</f>
        <v>2022</v>
      </c>
      <c r="L6" s="9"/>
      <c r="S6" s="52"/>
    </row>
    <row r="7" spans="1:22" x14ac:dyDescent="0.3">
      <c r="B7" s="2">
        <f t="shared" ref="B7:B21" si="2">+B6+1</f>
        <v>2023</v>
      </c>
      <c r="C7" s="3">
        <f t="shared" ref="C7:C21" si="3">+C6</f>
        <v>28.315951744784499</v>
      </c>
      <c r="D7" s="3">
        <f t="shared" si="0"/>
        <v>28.315951744784499</v>
      </c>
      <c r="E7" s="3">
        <f t="shared" ref="E7:F21" si="4">+E6</f>
        <v>0.72237109842471026</v>
      </c>
      <c r="F7" s="3">
        <f t="shared" si="4"/>
        <v>223.4037507077729</v>
      </c>
      <c r="G7" s="3">
        <f>+'[3]Colector San Fco'!$AB$35</f>
        <v>3.8095942806702481</v>
      </c>
      <c r="H7" s="3">
        <f t="shared" si="1"/>
        <v>24.506357464114252</v>
      </c>
      <c r="K7" s="56">
        <f t="shared" ref="K7:K21" si="5">+B7</f>
        <v>2023</v>
      </c>
      <c r="L7" s="9"/>
      <c r="S7" s="52"/>
    </row>
    <row r="8" spans="1:22" x14ac:dyDescent="0.3">
      <c r="B8" s="2">
        <f t="shared" si="2"/>
        <v>2024</v>
      </c>
      <c r="C8" s="3">
        <f t="shared" si="3"/>
        <v>28.315951744784499</v>
      </c>
      <c r="D8" s="3">
        <f t="shared" si="0"/>
        <v>28.315951744784499</v>
      </c>
      <c r="E8" s="3">
        <f t="shared" si="4"/>
        <v>0.72237109842471026</v>
      </c>
      <c r="F8" s="3">
        <f t="shared" si="4"/>
        <v>223.4037507077729</v>
      </c>
      <c r="G8" s="3">
        <f>+'[4]Colector San Fco'!$AB$35</f>
        <v>3.8095942806702481</v>
      </c>
      <c r="H8" s="3">
        <f t="shared" si="1"/>
        <v>24.506357464114252</v>
      </c>
      <c r="K8" s="56">
        <f t="shared" si="5"/>
        <v>2024</v>
      </c>
      <c r="L8" s="9"/>
      <c r="S8" s="52"/>
    </row>
    <row r="9" spans="1:22" x14ac:dyDescent="0.3">
      <c r="B9" s="2">
        <f t="shared" si="2"/>
        <v>2025</v>
      </c>
      <c r="C9" s="3">
        <f t="shared" si="3"/>
        <v>28.315951744784499</v>
      </c>
      <c r="D9" s="3">
        <f t="shared" si="0"/>
        <v>28.315951744784499</v>
      </c>
      <c r="E9" s="3">
        <f t="shared" si="4"/>
        <v>0.72237109842471026</v>
      </c>
      <c r="F9" s="3">
        <f t="shared" si="4"/>
        <v>223.4037507077729</v>
      </c>
      <c r="G9" s="3">
        <f>+'[5]Colector San Fco'!$AB$35</f>
        <v>3.8095942806702481</v>
      </c>
      <c r="H9" s="3">
        <f t="shared" si="1"/>
        <v>24.506357464114252</v>
      </c>
      <c r="K9" s="56">
        <f t="shared" si="5"/>
        <v>2025</v>
      </c>
      <c r="L9" s="9"/>
      <c r="S9" s="52"/>
    </row>
    <row r="10" spans="1:22" x14ac:dyDescent="0.3">
      <c r="B10" s="2">
        <f t="shared" si="2"/>
        <v>2026</v>
      </c>
      <c r="C10" s="3">
        <f t="shared" si="3"/>
        <v>28.315951744784499</v>
      </c>
      <c r="D10" s="3">
        <f t="shared" si="0"/>
        <v>28.315951744784499</v>
      </c>
      <c r="E10" s="3">
        <f t="shared" si="4"/>
        <v>0.72237109842471026</v>
      </c>
      <c r="F10" s="3">
        <f t="shared" si="4"/>
        <v>223.4037507077729</v>
      </c>
      <c r="G10" s="3">
        <f>+'[6]Colector San Fco'!$AB$35</f>
        <v>3.8095942806702481</v>
      </c>
      <c r="H10" s="3">
        <f t="shared" si="1"/>
        <v>24.506357464114252</v>
      </c>
      <c r="K10" s="56">
        <f t="shared" si="5"/>
        <v>2026</v>
      </c>
      <c r="L10" s="9"/>
      <c r="S10" s="52"/>
    </row>
    <row r="11" spans="1:22" x14ac:dyDescent="0.3">
      <c r="B11" s="2">
        <f t="shared" si="2"/>
        <v>2027</v>
      </c>
      <c r="C11" s="3">
        <f t="shared" si="3"/>
        <v>28.315951744784499</v>
      </c>
      <c r="D11" s="3">
        <f t="shared" si="0"/>
        <v>28.315951744784499</v>
      </c>
      <c r="E11" s="3">
        <f t="shared" si="4"/>
        <v>0.72237109842471026</v>
      </c>
      <c r="F11" s="3">
        <f t="shared" si="4"/>
        <v>223.4037507077729</v>
      </c>
      <c r="G11" s="3">
        <f>+'[7]Colector San Fco'!$AB$35</f>
        <v>3.8095942806702481</v>
      </c>
      <c r="H11" s="3">
        <f t="shared" si="1"/>
        <v>24.506357464114252</v>
      </c>
      <c r="K11" s="56">
        <f t="shared" si="5"/>
        <v>2027</v>
      </c>
      <c r="L11" s="9"/>
      <c r="S11" s="52"/>
    </row>
    <row r="12" spans="1:22" x14ac:dyDescent="0.3">
      <c r="B12" s="2">
        <f t="shared" si="2"/>
        <v>2028</v>
      </c>
      <c r="C12" s="3">
        <f t="shared" si="3"/>
        <v>28.315951744784499</v>
      </c>
      <c r="D12" s="3">
        <f t="shared" si="0"/>
        <v>28.315951744784499</v>
      </c>
      <c r="E12" s="3">
        <f t="shared" si="4"/>
        <v>0.72237109842471026</v>
      </c>
      <c r="F12" s="3">
        <f t="shared" si="4"/>
        <v>223.4037507077729</v>
      </c>
      <c r="G12" s="3">
        <f>+'[8]Colector San Fco'!$AB$35</f>
        <v>3.8095942806702481</v>
      </c>
      <c r="H12" s="3">
        <f t="shared" si="1"/>
        <v>24.506357464114252</v>
      </c>
      <c r="K12" s="56">
        <f t="shared" si="5"/>
        <v>2028</v>
      </c>
      <c r="L12" s="9"/>
      <c r="S12" s="52"/>
    </row>
    <row r="13" spans="1:22" x14ac:dyDescent="0.3">
      <c r="B13" s="2">
        <f t="shared" si="2"/>
        <v>2029</v>
      </c>
      <c r="C13" s="3">
        <f t="shared" si="3"/>
        <v>28.315951744784499</v>
      </c>
      <c r="D13" s="3">
        <f t="shared" si="0"/>
        <v>28.315951744784499</v>
      </c>
      <c r="E13" s="3">
        <f t="shared" si="4"/>
        <v>0.72237109842471026</v>
      </c>
      <c r="F13" s="3">
        <f t="shared" si="4"/>
        <v>223.4037507077729</v>
      </c>
      <c r="G13" s="3">
        <f>+'[9]Colector San Fco'!$AB$35</f>
        <v>3.8095942806702481</v>
      </c>
      <c r="H13" s="3">
        <f t="shared" si="1"/>
        <v>24.506357464114252</v>
      </c>
      <c r="K13" s="56">
        <f t="shared" si="5"/>
        <v>2029</v>
      </c>
      <c r="L13" s="9"/>
      <c r="S13" s="52"/>
    </row>
    <row r="14" spans="1:22" x14ac:dyDescent="0.3">
      <c r="B14" s="2">
        <f t="shared" si="2"/>
        <v>2030</v>
      </c>
      <c r="C14" s="3">
        <f t="shared" si="3"/>
        <v>28.315951744784499</v>
      </c>
      <c r="D14" s="3">
        <f t="shared" si="0"/>
        <v>28.315951744784499</v>
      </c>
      <c r="E14" s="3">
        <f t="shared" si="4"/>
        <v>0.72237109842471026</v>
      </c>
      <c r="F14" s="3">
        <f t="shared" si="4"/>
        <v>223.4037507077729</v>
      </c>
      <c r="G14" s="3">
        <f>+'[10]Colector San Fco'!$AB$35</f>
        <v>3.8095942806702481</v>
      </c>
      <c r="H14" s="3">
        <f t="shared" si="1"/>
        <v>24.506357464114252</v>
      </c>
      <c r="K14" s="56">
        <f t="shared" si="5"/>
        <v>2030</v>
      </c>
      <c r="L14" s="9"/>
      <c r="S14" s="52"/>
    </row>
    <row r="15" spans="1:22" x14ac:dyDescent="0.3">
      <c r="B15" s="2">
        <f t="shared" si="2"/>
        <v>2031</v>
      </c>
      <c r="C15" s="3">
        <f t="shared" si="3"/>
        <v>28.315951744784499</v>
      </c>
      <c r="D15" s="3">
        <f t="shared" si="0"/>
        <v>28.315951744784499</v>
      </c>
      <c r="E15" s="3">
        <f t="shared" si="4"/>
        <v>0.72237109842471026</v>
      </c>
      <c r="F15" s="3">
        <f t="shared" si="4"/>
        <v>223.4037507077729</v>
      </c>
      <c r="G15" s="3">
        <f>+'[11]Colector San Fco'!$AB$35</f>
        <v>3.8095942806702481</v>
      </c>
      <c r="H15" s="3">
        <f t="shared" si="1"/>
        <v>24.506357464114252</v>
      </c>
      <c r="K15" s="56">
        <f t="shared" si="5"/>
        <v>2031</v>
      </c>
      <c r="L15" s="9"/>
      <c r="S15" s="52"/>
    </row>
    <row r="16" spans="1:22" x14ac:dyDescent="0.3">
      <c r="B16" s="2">
        <f t="shared" si="2"/>
        <v>2032</v>
      </c>
      <c r="C16" s="3">
        <f t="shared" si="3"/>
        <v>28.315951744784499</v>
      </c>
      <c r="D16" s="3">
        <f t="shared" si="0"/>
        <v>28.315951744784499</v>
      </c>
      <c r="E16" s="3">
        <f t="shared" si="4"/>
        <v>0.72237109842471026</v>
      </c>
      <c r="F16" s="3">
        <f t="shared" si="4"/>
        <v>223.4037507077729</v>
      </c>
      <c r="G16" s="3">
        <f>+'[12]Colector San Fco'!$AB$35</f>
        <v>3.8095942806702481</v>
      </c>
      <c r="H16" s="3">
        <f t="shared" si="1"/>
        <v>24.506357464114252</v>
      </c>
      <c r="K16" s="56">
        <f t="shared" si="5"/>
        <v>2032</v>
      </c>
      <c r="L16" s="9"/>
      <c r="S16" s="52"/>
    </row>
    <row r="17" spans="2:19" x14ac:dyDescent="0.3">
      <c r="B17" s="2">
        <f t="shared" si="2"/>
        <v>2033</v>
      </c>
      <c r="C17" s="3">
        <f t="shared" si="3"/>
        <v>28.315951744784499</v>
      </c>
      <c r="D17" s="3">
        <f t="shared" si="0"/>
        <v>28.315951744784499</v>
      </c>
      <c r="E17" s="3">
        <f t="shared" si="4"/>
        <v>0.72237109842471026</v>
      </c>
      <c r="F17" s="3">
        <f t="shared" si="4"/>
        <v>223.4037507077729</v>
      </c>
      <c r="G17" s="3">
        <f>+'[13]Colector San Fco'!$AB$35</f>
        <v>3.8095942806702481</v>
      </c>
      <c r="H17" s="3">
        <f t="shared" si="1"/>
        <v>24.506357464114252</v>
      </c>
      <c r="K17" s="56">
        <f t="shared" si="5"/>
        <v>2033</v>
      </c>
      <c r="L17" s="9"/>
      <c r="S17" s="52"/>
    </row>
    <row r="18" spans="2:19" x14ac:dyDescent="0.3">
      <c r="B18" s="2">
        <f t="shared" si="2"/>
        <v>2034</v>
      </c>
      <c r="C18" s="3">
        <f t="shared" si="3"/>
        <v>28.315951744784499</v>
      </c>
      <c r="D18" s="3">
        <f t="shared" si="0"/>
        <v>28.315951744784499</v>
      </c>
      <c r="E18" s="3">
        <f t="shared" si="4"/>
        <v>0.72237109842471026</v>
      </c>
      <c r="F18" s="3">
        <f t="shared" si="4"/>
        <v>223.4037507077729</v>
      </c>
      <c r="G18" s="3">
        <f>+'[14]Colector San Fco'!$AB$35</f>
        <v>3.8095942806702481</v>
      </c>
      <c r="H18" s="3">
        <f t="shared" si="1"/>
        <v>24.506357464114252</v>
      </c>
      <c r="K18" s="56">
        <f t="shared" si="5"/>
        <v>2034</v>
      </c>
      <c r="L18" s="9"/>
      <c r="S18" s="52"/>
    </row>
    <row r="19" spans="2:19" x14ac:dyDescent="0.3">
      <c r="B19" s="2">
        <f t="shared" si="2"/>
        <v>2035</v>
      </c>
      <c r="C19" s="3">
        <f t="shared" si="3"/>
        <v>28.315951744784499</v>
      </c>
      <c r="D19" s="3">
        <f t="shared" si="0"/>
        <v>28.315951744784499</v>
      </c>
      <c r="E19" s="3">
        <f t="shared" si="4"/>
        <v>0.72237109842471026</v>
      </c>
      <c r="F19" s="3">
        <f t="shared" si="4"/>
        <v>223.4037507077729</v>
      </c>
      <c r="G19" s="3">
        <f>+'[15]Colector San Fco'!$AB$35</f>
        <v>3.8095942806702481</v>
      </c>
      <c r="H19" s="3">
        <f t="shared" si="1"/>
        <v>24.506357464114252</v>
      </c>
      <c r="K19" s="56">
        <f t="shared" si="5"/>
        <v>2035</v>
      </c>
      <c r="L19" s="9"/>
      <c r="S19" s="52"/>
    </row>
    <row r="20" spans="2:19" x14ac:dyDescent="0.3">
      <c r="B20" s="2">
        <f t="shared" si="2"/>
        <v>2036</v>
      </c>
      <c r="C20" s="3">
        <f t="shared" si="3"/>
        <v>28.315951744784499</v>
      </c>
      <c r="D20" s="3">
        <f t="shared" si="0"/>
        <v>28.315951744784499</v>
      </c>
      <c r="E20" s="3">
        <f t="shared" si="4"/>
        <v>0.72237109842471026</v>
      </c>
      <c r="F20" s="3">
        <f t="shared" si="4"/>
        <v>223.4037507077729</v>
      </c>
      <c r="G20" s="3">
        <f>+'[16]Colector San Fco'!$AB$35</f>
        <v>3.8095942806702481</v>
      </c>
      <c r="H20" s="3">
        <f t="shared" si="1"/>
        <v>24.506357464114252</v>
      </c>
      <c r="K20" s="56">
        <f t="shared" si="5"/>
        <v>2036</v>
      </c>
      <c r="L20" s="9"/>
      <c r="S20" s="52"/>
    </row>
    <row r="21" spans="2:19" ht="13.8" thickBot="1" x14ac:dyDescent="0.35">
      <c r="B21" s="2">
        <f t="shared" si="2"/>
        <v>2037</v>
      </c>
      <c r="C21" s="3">
        <f t="shared" si="3"/>
        <v>28.315951744784499</v>
      </c>
      <c r="D21" s="3">
        <f t="shared" si="0"/>
        <v>28.315951744784499</v>
      </c>
      <c r="E21" s="3">
        <f t="shared" si="4"/>
        <v>0.72237109842471026</v>
      </c>
      <c r="F21" s="3">
        <f t="shared" si="4"/>
        <v>223.4037507077729</v>
      </c>
      <c r="G21" s="3">
        <f>+'[17]Colector San Fco'!$AB$35</f>
        <v>3.8095942806702481</v>
      </c>
      <c r="H21" s="3">
        <f t="shared" si="1"/>
        <v>24.506357464114252</v>
      </c>
      <c r="I21" s="13">
        <f>+G21/G6-1</f>
        <v>0</v>
      </c>
      <c r="K21" s="58">
        <f t="shared" si="5"/>
        <v>2037</v>
      </c>
      <c r="L21" s="59"/>
      <c r="M21" s="73"/>
      <c r="N21" s="63"/>
      <c r="O21" s="63"/>
      <c r="P21" s="63"/>
      <c r="Q21" s="63"/>
      <c r="R21" s="63"/>
      <c r="S21" s="68"/>
    </row>
    <row r="22" spans="2:19" x14ac:dyDescent="0.3">
      <c r="K22" s="43"/>
      <c r="L22" s="9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35</v>
      </c>
      <c r="E2" s="6" t="s">
        <v>7</v>
      </c>
      <c r="F2" s="7">
        <f>+'[17]Colector CUT'!$N$35</f>
        <v>704.24099999999987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173</v>
      </c>
      <c r="O3" s="12" t="s">
        <v>174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Miraflores'!B6</f>
        <v>2022</v>
      </c>
      <c r="C6" s="3">
        <f>+SUMPRODUCT('[17]Colector CUT'!$AL$17:$AL$35,'[17]Colector CUT'!$M$17:$M$35)/F2</f>
        <v>53.729793551642146</v>
      </c>
      <c r="D6" s="3">
        <f t="shared" ref="D6:D21" si="0">+C6</f>
        <v>53.729793551642146</v>
      </c>
      <c r="E6" s="3">
        <f>D6/(0.25*PI()*(F6/1000)^2)/1000</f>
        <v>1.0547287130082668</v>
      </c>
      <c r="F6" s="3">
        <f>+SUMPRODUCT('[17]Colector CUT'!$F$17:$F$35,'[17]Colector CUT'!$M$17:$M$35)/F2</f>
        <v>254.67848676802404</v>
      </c>
      <c r="G6" s="3">
        <f>+'[2]Colector CUT'!$AB$35</f>
        <v>4.1289960133850165</v>
      </c>
      <c r="H6" s="3">
        <f t="shared" ref="H6:H21" si="1">+D6-G6</f>
        <v>49.600797538257126</v>
      </c>
      <c r="K6" s="56">
        <f>+B6</f>
        <v>2022</v>
      </c>
      <c r="L6" s="9"/>
      <c r="S6" s="52"/>
    </row>
    <row r="7" spans="1:22" x14ac:dyDescent="0.3">
      <c r="B7" s="2">
        <f t="shared" ref="B7:B21" si="2">+B6+1</f>
        <v>2023</v>
      </c>
      <c r="C7" s="3">
        <f t="shared" ref="C7:C21" si="3">+C6</f>
        <v>53.729793551642146</v>
      </c>
      <c r="D7" s="3">
        <f t="shared" si="0"/>
        <v>53.729793551642146</v>
      </c>
      <c r="E7" s="3">
        <f t="shared" ref="E7:F21" si="4">+E6</f>
        <v>1.0547287130082668</v>
      </c>
      <c r="F7" s="3">
        <f t="shared" si="4"/>
        <v>254.67848676802404</v>
      </c>
      <c r="G7" s="3">
        <f>+'[3]Colector CUT'!$AB$35</f>
        <v>4.1768079129481235</v>
      </c>
      <c r="H7" s="3">
        <f t="shared" si="1"/>
        <v>49.552985638694025</v>
      </c>
      <c r="K7" s="56">
        <f t="shared" ref="K7:K21" si="5">+B7</f>
        <v>2023</v>
      </c>
      <c r="L7" s="9"/>
      <c r="S7" s="52"/>
    </row>
    <row r="8" spans="1:22" x14ac:dyDescent="0.3">
      <c r="B8" s="2">
        <f t="shared" si="2"/>
        <v>2024</v>
      </c>
      <c r="C8" s="3">
        <f t="shared" si="3"/>
        <v>53.729793551642146</v>
      </c>
      <c r="D8" s="3">
        <f t="shared" si="0"/>
        <v>53.729793551642146</v>
      </c>
      <c r="E8" s="3">
        <f t="shared" si="4"/>
        <v>1.0547287130082668</v>
      </c>
      <c r="F8" s="3">
        <f t="shared" si="4"/>
        <v>254.67848676802404</v>
      </c>
      <c r="G8" s="3">
        <f>+'[4]Colector CUT'!$AB$35</f>
        <v>4.2108131487024894</v>
      </c>
      <c r="H8" s="3">
        <f t="shared" si="1"/>
        <v>49.518980402939654</v>
      </c>
      <c r="K8" s="56">
        <f t="shared" si="5"/>
        <v>2024</v>
      </c>
      <c r="L8" s="9"/>
      <c r="S8" s="52"/>
    </row>
    <row r="9" spans="1:22" x14ac:dyDescent="0.3">
      <c r="B9" s="2">
        <f t="shared" si="2"/>
        <v>2025</v>
      </c>
      <c r="C9" s="3">
        <f t="shared" si="3"/>
        <v>53.729793551642146</v>
      </c>
      <c r="D9" s="3">
        <f t="shared" si="0"/>
        <v>53.729793551642146</v>
      </c>
      <c r="E9" s="3">
        <f t="shared" si="4"/>
        <v>1.0547287130082668</v>
      </c>
      <c r="F9" s="3">
        <f t="shared" si="4"/>
        <v>254.67848676802404</v>
      </c>
      <c r="G9" s="3">
        <f>+'[5]Colector CUT'!$AB$35</f>
        <v>4.2451089322329514</v>
      </c>
      <c r="H9" s="3">
        <f t="shared" si="1"/>
        <v>49.484684619409194</v>
      </c>
      <c r="K9" s="56">
        <f t="shared" si="5"/>
        <v>2025</v>
      </c>
      <c r="L9" s="9"/>
      <c r="S9" s="52"/>
    </row>
    <row r="10" spans="1:22" x14ac:dyDescent="0.3">
      <c r="B10" s="2">
        <f t="shared" si="2"/>
        <v>2026</v>
      </c>
      <c r="C10" s="3">
        <f t="shared" si="3"/>
        <v>53.729793551642146</v>
      </c>
      <c r="D10" s="3">
        <f t="shared" si="0"/>
        <v>53.729793551642146</v>
      </c>
      <c r="E10" s="3">
        <f t="shared" si="4"/>
        <v>1.0547287130082668</v>
      </c>
      <c r="F10" s="3">
        <f t="shared" si="4"/>
        <v>254.67848676802404</v>
      </c>
      <c r="G10" s="3">
        <f>+'[6]Colector CUT'!$AB$35</f>
        <v>4.2799932935213612</v>
      </c>
      <c r="H10" s="3">
        <f t="shared" si="1"/>
        <v>49.449800258120788</v>
      </c>
      <c r="K10" s="56">
        <f t="shared" si="5"/>
        <v>2026</v>
      </c>
      <c r="L10" s="9"/>
      <c r="S10" s="52"/>
    </row>
    <row r="11" spans="1:22" x14ac:dyDescent="0.3">
      <c r="B11" s="2">
        <f t="shared" si="2"/>
        <v>2027</v>
      </c>
      <c r="C11" s="3">
        <f t="shared" si="3"/>
        <v>53.729793551642146</v>
      </c>
      <c r="D11" s="3">
        <f t="shared" si="0"/>
        <v>53.729793551642146</v>
      </c>
      <c r="E11" s="3">
        <f t="shared" si="4"/>
        <v>1.0547287130082668</v>
      </c>
      <c r="F11" s="3">
        <f t="shared" si="4"/>
        <v>254.67848676802404</v>
      </c>
      <c r="G11" s="3">
        <f>+'[7]Colector CUT'!$AB$35</f>
        <v>4.3153958342612055</v>
      </c>
      <c r="H11" s="3">
        <f t="shared" si="1"/>
        <v>49.414397717380943</v>
      </c>
      <c r="K11" s="56">
        <f t="shared" si="5"/>
        <v>2027</v>
      </c>
      <c r="L11" s="9"/>
      <c r="S11" s="52"/>
    </row>
    <row r="12" spans="1:22" x14ac:dyDescent="0.3">
      <c r="B12" s="2">
        <f t="shared" si="2"/>
        <v>2028</v>
      </c>
      <c r="C12" s="3">
        <f t="shared" si="3"/>
        <v>53.729793551642146</v>
      </c>
      <c r="D12" s="3">
        <f t="shared" si="0"/>
        <v>53.729793551642146</v>
      </c>
      <c r="E12" s="3">
        <f t="shared" si="4"/>
        <v>1.0547287130082668</v>
      </c>
      <c r="F12" s="3">
        <f t="shared" si="4"/>
        <v>254.67848676802404</v>
      </c>
      <c r="G12" s="3">
        <f>+'[8]Colector CUT'!$AB$35</f>
        <v>4.3514748558975835</v>
      </c>
      <c r="H12" s="3">
        <f t="shared" si="1"/>
        <v>49.378318695744561</v>
      </c>
      <c r="K12" s="56">
        <f t="shared" si="5"/>
        <v>2028</v>
      </c>
      <c r="L12" s="9"/>
      <c r="S12" s="52"/>
    </row>
    <row r="13" spans="1:22" x14ac:dyDescent="0.3">
      <c r="B13" s="2">
        <f t="shared" si="2"/>
        <v>2029</v>
      </c>
      <c r="C13" s="3">
        <f t="shared" si="3"/>
        <v>53.729793551642146</v>
      </c>
      <c r="D13" s="3">
        <f t="shared" si="0"/>
        <v>53.729793551642146</v>
      </c>
      <c r="E13" s="3">
        <f t="shared" si="4"/>
        <v>1.0547287130082668</v>
      </c>
      <c r="F13" s="3">
        <f t="shared" si="4"/>
        <v>254.67848676802404</v>
      </c>
      <c r="G13" s="3">
        <f>+'[9]Colector CUT'!$AB$35</f>
        <v>4.3878300943130473</v>
      </c>
      <c r="H13" s="3">
        <f t="shared" si="1"/>
        <v>49.341963457329101</v>
      </c>
      <c r="K13" s="56">
        <f t="shared" si="5"/>
        <v>2029</v>
      </c>
      <c r="L13" s="9"/>
      <c r="S13" s="52"/>
    </row>
    <row r="14" spans="1:22" x14ac:dyDescent="0.3">
      <c r="B14" s="2">
        <f t="shared" si="2"/>
        <v>2030</v>
      </c>
      <c r="C14" s="3">
        <f t="shared" si="3"/>
        <v>53.729793551642146</v>
      </c>
      <c r="D14" s="3">
        <f t="shared" si="0"/>
        <v>53.729793551642146</v>
      </c>
      <c r="E14" s="3">
        <f t="shared" si="4"/>
        <v>1.0547287130082668</v>
      </c>
      <c r="F14" s="3">
        <f t="shared" si="4"/>
        <v>254.67848676802404</v>
      </c>
      <c r="G14" s="3">
        <f>+'[10]Colector CUT'!$AB$35</f>
        <v>4.4247810529297578</v>
      </c>
      <c r="H14" s="3">
        <f t="shared" si="1"/>
        <v>49.305012498712387</v>
      </c>
      <c r="K14" s="56">
        <f t="shared" si="5"/>
        <v>2030</v>
      </c>
      <c r="L14" s="9"/>
      <c r="S14" s="52"/>
    </row>
    <row r="15" spans="1:22" x14ac:dyDescent="0.3">
      <c r="B15" s="2">
        <f t="shared" si="2"/>
        <v>2031</v>
      </c>
      <c r="C15" s="3">
        <f t="shared" si="3"/>
        <v>53.729793551642146</v>
      </c>
      <c r="D15" s="3">
        <f t="shared" si="0"/>
        <v>53.729793551642146</v>
      </c>
      <c r="E15" s="3">
        <f t="shared" si="4"/>
        <v>1.0547287130082668</v>
      </c>
      <c r="F15" s="3">
        <f t="shared" si="4"/>
        <v>254.67848676802404</v>
      </c>
      <c r="G15" s="3">
        <f>+'[11]Colector CUT'!$AB$35</f>
        <v>4.4622428459619261</v>
      </c>
      <c r="H15" s="3">
        <f t="shared" si="1"/>
        <v>49.267550705680222</v>
      </c>
      <c r="K15" s="56">
        <f t="shared" si="5"/>
        <v>2031</v>
      </c>
      <c r="L15" s="9"/>
      <c r="S15" s="52"/>
    </row>
    <row r="16" spans="1:22" x14ac:dyDescent="0.3">
      <c r="B16" s="2">
        <f t="shared" si="2"/>
        <v>2032</v>
      </c>
      <c r="C16" s="3">
        <f t="shared" si="3"/>
        <v>53.729793551642146</v>
      </c>
      <c r="D16" s="3">
        <f t="shared" si="0"/>
        <v>53.729793551642146</v>
      </c>
      <c r="E16" s="3">
        <f t="shared" si="4"/>
        <v>1.0547287130082668</v>
      </c>
      <c r="F16" s="3">
        <f t="shared" si="4"/>
        <v>254.67848676802404</v>
      </c>
      <c r="G16" s="3">
        <f>+'[12]Colector CUT'!$AB$35</f>
        <v>4.5003913467144168</v>
      </c>
      <c r="H16" s="3">
        <f t="shared" si="1"/>
        <v>49.22940220492773</v>
      </c>
      <c r="K16" s="56">
        <f t="shared" si="5"/>
        <v>2032</v>
      </c>
      <c r="L16" s="9"/>
      <c r="S16" s="52"/>
    </row>
    <row r="17" spans="2:19" x14ac:dyDescent="0.3">
      <c r="B17" s="2">
        <f t="shared" si="2"/>
        <v>2033</v>
      </c>
      <c r="C17" s="3">
        <f t="shared" si="3"/>
        <v>53.729793551642146</v>
      </c>
      <c r="D17" s="3">
        <f t="shared" si="0"/>
        <v>53.729793551642146</v>
      </c>
      <c r="E17" s="3">
        <f t="shared" si="4"/>
        <v>1.0547287130082668</v>
      </c>
      <c r="F17" s="3">
        <f t="shared" si="4"/>
        <v>254.67848676802404</v>
      </c>
      <c r="G17" s="3">
        <f>+'[13]Colector CUT'!$AB$35</f>
        <v>4.5387768081531261</v>
      </c>
      <c r="H17" s="3">
        <f t="shared" si="1"/>
        <v>49.191016743489023</v>
      </c>
      <c r="K17" s="56">
        <f t="shared" si="5"/>
        <v>2033</v>
      </c>
      <c r="L17" s="9"/>
      <c r="S17" s="52"/>
    </row>
    <row r="18" spans="2:19" x14ac:dyDescent="0.3">
      <c r="B18" s="2">
        <f t="shared" si="2"/>
        <v>2034</v>
      </c>
      <c r="C18" s="3">
        <f t="shared" si="3"/>
        <v>53.729793551642146</v>
      </c>
      <c r="D18" s="3">
        <f t="shared" si="0"/>
        <v>53.729793551642146</v>
      </c>
      <c r="E18" s="3">
        <f t="shared" si="4"/>
        <v>1.0547287130082668</v>
      </c>
      <c r="F18" s="3">
        <f t="shared" si="4"/>
        <v>254.67848676802404</v>
      </c>
      <c r="G18" s="3">
        <f>+'[14]Colector CUT'!$AB$35</f>
        <v>4.5777815124563643</v>
      </c>
      <c r="H18" s="3">
        <f t="shared" si="1"/>
        <v>49.152012039185784</v>
      </c>
      <c r="K18" s="56">
        <f t="shared" si="5"/>
        <v>2034</v>
      </c>
      <c r="L18" s="9"/>
      <c r="S18" s="52"/>
    </row>
    <row r="19" spans="2:19" x14ac:dyDescent="0.3">
      <c r="B19" s="2">
        <f t="shared" si="2"/>
        <v>2035</v>
      </c>
      <c r="C19" s="3">
        <f t="shared" si="3"/>
        <v>53.729793551642146</v>
      </c>
      <c r="D19" s="3">
        <f t="shared" si="0"/>
        <v>53.729793551642146</v>
      </c>
      <c r="E19" s="3">
        <f t="shared" si="4"/>
        <v>1.0547287130082668</v>
      </c>
      <c r="F19" s="3">
        <f t="shared" si="4"/>
        <v>254.67848676802404</v>
      </c>
      <c r="G19" s="3">
        <f>+'[15]Colector CUT'!$AB$35</f>
        <v>4.6172815683636435</v>
      </c>
      <c r="H19" s="3">
        <f t="shared" si="1"/>
        <v>49.112511983278502</v>
      </c>
      <c r="K19" s="56">
        <f t="shared" si="5"/>
        <v>2035</v>
      </c>
      <c r="L19" s="9"/>
      <c r="S19" s="52"/>
    </row>
    <row r="20" spans="2:19" x14ac:dyDescent="0.3">
      <c r="B20" s="2">
        <f t="shared" si="2"/>
        <v>2036</v>
      </c>
      <c r="C20" s="3">
        <f t="shared" si="3"/>
        <v>53.729793551642146</v>
      </c>
      <c r="D20" s="3">
        <f t="shared" si="0"/>
        <v>53.729793551642146</v>
      </c>
      <c r="E20" s="3">
        <f t="shared" si="4"/>
        <v>1.0547287130082668</v>
      </c>
      <c r="F20" s="3">
        <f t="shared" si="4"/>
        <v>254.67848676802404</v>
      </c>
      <c r="G20" s="3">
        <f>+'[16]Colector CUT'!$AB$35</f>
        <v>4.6574866711927045</v>
      </c>
      <c r="H20" s="3">
        <f t="shared" si="1"/>
        <v>49.072306880449439</v>
      </c>
      <c r="K20" s="56">
        <f t="shared" si="5"/>
        <v>2036</v>
      </c>
      <c r="L20" s="9"/>
      <c r="S20" s="52"/>
    </row>
    <row r="21" spans="2:19" ht="13.8" thickBot="1" x14ac:dyDescent="0.35">
      <c r="B21" s="2">
        <f t="shared" si="2"/>
        <v>2037</v>
      </c>
      <c r="C21" s="3">
        <f t="shared" si="3"/>
        <v>53.729793551642146</v>
      </c>
      <c r="D21" s="3">
        <f t="shared" si="0"/>
        <v>53.729793551642146</v>
      </c>
      <c r="E21" s="3">
        <f t="shared" si="4"/>
        <v>1.0547287130082668</v>
      </c>
      <c r="F21" s="3">
        <f t="shared" si="4"/>
        <v>254.67848676802404</v>
      </c>
      <c r="G21" s="3">
        <f>+'[17]Colector CUT'!$AB$35</f>
        <v>4.69791408313856</v>
      </c>
      <c r="H21" s="3">
        <f t="shared" si="1"/>
        <v>49.03187946850359</v>
      </c>
      <c r="I21" s="13">
        <f>+G21/G6-1</f>
        <v>0.13778605450556869</v>
      </c>
      <c r="K21" s="58">
        <f t="shared" si="5"/>
        <v>2037</v>
      </c>
      <c r="L21" s="59"/>
      <c r="M21" s="73"/>
      <c r="N21" s="63"/>
      <c r="O21" s="63"/>
      <c r="P21" s="63"/>
      <c r="Q21" s="63"/>
      <c r="R21" s="63"/>
      <c r="S21" s="68"/>
    </row>
    <row r="22" spans="2:19" x14ac:dyDescent="0.3">
      <c r="L22" s="9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34</v>
      </c>
      <c r="E2" s="6" t="s">
        <v>7</v>
      </c>
      <c r="F2" s="7">
        <f>+'[17]Colector Miraflores'!$N$21</f>
        <v>332.93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175</v>
      </c>
      <c r="O3" s="12" t="s">
        <v>176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Gral Lagos V'!B6</f>
        <v>2022</v>
      </c>
      <c r="C6" s="3">
        <f>+SUMPRODUCT('[17]Colector Miraflores'!$AL$17:$AL$21,'[17]Colector Miraflores'!$M$17:$M$21)/F2</f>
        <v>625.01825767292473</v>
      </c>
      <c r="D6" s="3">
        <f t="shared" ref="D6:D21" si="0">+C6</f>
        <v>625.01825767292473</v>
      </c>
      <c r="E6" s="3">
        <f>D6/(0.25*PI()*(F6/1000)^2)/1000</f>
        <v>1.579951412372457</v>
      </c>
      <c r="F6" s="3">
        <f>+SUMPRODUCT('[17]Colector Miraflores'!$F$17:$F$21,'[17]Colector Miraflores'!$M$17:$M$21)/F2</f>
        <v>709.70774637311149</v>
      </c>
      <c r="G6" s="3">
        <f>+'[2]Colector Miraflores'!$AB$21</f>
        <v>403.40340401414613</v>
      </c>
      <c r="H6" s="3">
        <f t="shared" ref="H6:H21" si="1">+D6-G6</f>
        <v>221.6148536587786</v>
      </c>
      <c r="K6" s="56">
        <f>+B6</f>
        <v>2022</v>
      </c>
      <c r="L6" s="9">
        <f>+'[2]Colector Miraflores'!$V$21</f>
        <v>17560.477974906262</v>
      </c>
      <c r="M6" s="34">
        <f>+'[2]Colector Miraflores'!$U$21</f>
        <v>39.891604066924934</v>
      </c>
      <c r="N6" s="44">
        <f t="shared" ref="N6:N21" si="2">1+(14/(4+(SQRT(L6/1000))))</f>
        <v>2.7092926822394814</v>
      </c>
      <c r="O6" s="34">
        <f t="shared" ref="O6:O21" si="3">+N6*M6</f>
        <v>108.07803098131446</v>
      </c>
      <c r="P6" s="34">
        <f>+M6*$P$4</f>
        <v>7.978320813384987</v>
      </c>
      <c r="Q6" s="34">
        <f t="shared" ref="Q6:Q21" si="4">+P6+O6</f>
        <v>116.05635179469944</v>
      </c>
      <c r="R6" s="34">
        <f>+'[2]Colector Miraflores'!$AA$21</f>
        <v>287.34705221944671</v>
      </c>
      <c r="S6" s="57">
        <f>+R6+Q6</f>
        <v>403.40340401414613</v>
      </c>
      <c r="U6" s="46">
        <f>+G6</f>
        <v>403.40340401414613</v>
      </c>
      <c r="V6" s="34">
        <f>+U6-S6</f>
        <v>0</v>
      </c>
    </row>
    <row r="7" spans="1:22" x14ac:dyDescent="0.3">
      <c r="B7" s="2">
        <f t="shared" ref="B7:B21" si="5">+B6+1</f>
        <v>2023</v>
      </c>
      <c r="C7" s="3">
        <f t="shared" ref="C7:C21" si="6">+C6</f>
        <v>625.01825767292473</v>
      </c>
      <c r="D7" s="3">
        <f t="shared" si="0"/>
        <v>625.01825767292473</v>
      </c>
      <c r="E7" s="3">
        <f t="shared" ref="E7:F21" si="7">+E6</f>
        <v>1.579951412372457</v>
      </c>
      <c r="F7" s="3">
        <f t="shared" si="7"/>
        <v>709.70774637311149</v>
      </c>
      <c r="G7" s="3">
        <f>+'[3]Colector Miraflores'!$AB$21</f>
        <v>414.28685156803033</v>
      </c>
      <c r="H7" s="3">
        <f t="shared" si="1"/>
        <v>210.7314061048944</v>
      </c>
      <c r="K7" s="56">
        <f t="shared" ref="K7:K21" si="8">+B7</f>
        <v>2023</v>
      </c>
      <c r="L7" s="9">
        <f>+'[3]Colector Miraflores'!$V$21</f>
        <v>17671.951761792981</v>
      </c>
      <c r="M7" s="34">
        <f>+'[3]Colector Miraflores'!$U$21</f>
        <v>40.889947090180542</v>
      </c>
      <c r="N7" s="44">
        <f t="shared" si="2"/>
        <v>2.7065258153689666</v>
      </c>
      <c r="O7" s="34">
        <f t="shared" si="3"/>
        <v>110.66969738864479</v>
      </c>
      <c r="P7" s="34">
        <f t="shared" ref="P7:P21" si="9">+M7*$P$4</f>
        <v>8.177989418036109</v>
      </c>
      <c r="Q7" s="34">
        <f t="shared" si="4"/>
        <v>118.8476868066809</v>
      </c>
      <c r="R7" s="34">
        <f>+'[3]Colector Miraflores'!$AA$21</f>
        <v>295.43916476134945</v>
      </c>
      <c r="S7" s="57">
        <f t="shared" ref="S7:S21" si="10">+R7+Q7</f>
        <v>414.28685156803033</v>
      </c>
      <c r="U7" s="46">
        <f t="shared" ref="U7:U21" si="11">+G7</f>
        <v>414.28685156803033</v>
      </c>
      <c r="V7" s="34">
        <f t="shared" ref="V7:V21" si="12">+U7-S7</f>
        <v>0</v>
      </c>
    </row>
    <row r="8" spans="1:22" x14ac:dyDescent="0.3">
      <c r="B8" s="2">
        <f t="shared" si="5"/>
        <v>2024</v>
      </c>
      <c r="C8" s="3">
        <f t="shared" si="6"/>
        <v>625.01825767292473</v>
      </c>
      <c r="D8" s="3">
        <f t="shared" si="0"/>
        <v>625.01825767292473</v>
      </c>
      <c r="E8" s="3">
        <f t="shared" si="7"/>
        <v>1.579951412372457</v>
      </c>
      <c r="F8" s="3">
        <f t="shared" si="7"/>
        <v>709.70774637311149</v>
      </c>
      <c r="G8" s="3">
        <f>+'[4]Colector Miraflores'!$AB$21</f>
        <v>422.38625236333633</v>
      </c>
      <c r="H8" s="3">
        <f t="shared" si="1"/>
        <v>202.63200530958841</v>
      </c>
      <c r="K8" s="56">
        <f t="shared" si="8"/>
        <v>2024</v>
      </c>
      <c r="L8" s="9">
        <f>+'[4]Colector Miraflores'!$V$21</f>
        <v>17783.93736588303</v>
      </c>
      <c r="M8" s="34">
        <f>+'[4]Colector Miraflores'!$U$21</f>
        <v>41.64478926110165</v>
      </c>
      <c r="N8" s="44">
        <f t="shared" si="2"/>
        <v>2.7037639798565234</v>
      </c>
      <c r="O8" s="34">
        <f t="shared" si="3"/>
        <v>112.5976811528824</v>
      </c>
      <c r="P8" s="34">
        <f t="shared" si="9"/>
        <v>8.3289578522203307</v>
      </c>
      <c r="Q8" s="34">
        <f t="shared" si="4"/>
        <v>120.92663900510273</v>
      </c>
      <c r="R8" s="34">
        <f>+'[4]Colector Miraflores'!$AA$21</f>
        <v>301.45961335823358</v>
      </c>
      <c r="S8" s="57">
        <f t="shared" si="10"/>
        <v>422.38625236333633</v>
      </c>
      <c r="U8" s="46">
        <f t="shared" si="11"/>
        <v>422.38625236333633</v>
      </c>
      <c r="V8" s="34">
        <f t="shared" si="12"/>
        <v>0</v>
      </c>
    </row>
    <row r="9" spans="1:22" x14ac:dyDescent="0.3">
      <c r="B9" s="2">
        <f t="shared" si="5"/>
        <v>2025</v>
      </c>
      <c r="C9" s="3">
        <f t="shared" si="6"/>
        <v>625.01825767292473</v>
      </c>
      <c r="D9" s="3">
        <f t="shared" si="0"/>
        <v>625.01825767292473</v>
      </c>
      <c r="E9" s="3">
        <f t="shared" si="7"/>
        <v>1.579951412372457</v>
      </c>
      <c r="F9" s="3">
        <f t="shared" si="7"/>
        <v>709.70774637311149</v>
      </c>
      <c r="G9" s="3">
        <f>+'[5]Colector Miraflores'!$AB$21</f>
        <v>430.50687181605849</v>
      </c>
      <c r="H9" s="3">
        <f t="shared" si="1"/>
        <v>194.51138585686624</v>
      </c>
      <c r="K9" s="56">
        <f t="shared" si="8"/>
        <v>2025</v>
      </c>
      <c r="L9" s="9">
        <f>+'[5]Colector Miraflores'!$V$21</f>
        <v>17896.332423735756</v>
      </c>
      <c r="M9" s="34">
        <f>+'[5]Colector Miraflores'!$U$21</f>
        <v>42.403021497422799</v>
      </c>
      <c r="N9" s="44">
        <f t="shared" si="2"/>
        <v>2.7010097075205541</v>
      </c>
      <c r="O9" s="34">
        <f t="shared" si="3"/>
        <v>114.53097269274173</v>
      </c>
      <c r="P9" s="34">
        <f t="shared" si="9"/>
        <v>8.4806042994845594</v>
      </c>
      <c r="Q9" s="34">
        <f t="shared" si="4"/>
        <v>123.01157699222628</v>
      </c>
      <c r="R9" s="34">
        <f>+'[5]Colector Miraflores'!$AA$21</f>
        <v>307.49529482383218</v>
      </c>
      <c r="S9" s="57">
        <f t="shared" si="10"/>
        <v>430.50687181605849</v>
      </c>
      <c r="U9" s="46">
        <f t="shared" si="11"/>
        <v>430.50687181605849</v>
      </c>
      <c r="V9" s="34">
        <f t="shared" si="12"/>
        <v>0</v>
      </c>
    </row>
    <row r="10" spans="1:22" x14ac:dyDescent="0.3">
      <c r="B10" s="2">
        <f t="shared" si="5"/>
        <v>2026</v>
      </c>
      <c r="C10" s="3">
        <f t="shared" si="6"/>
        <v>625.01825767292473</v>
      </c>
      <c r="D10" s="3">
        <f t="shared" si="0"/>
        <v>625.01825767292473</v>
      </c>
      <c r="E10" s="3">
        <f t="shared" si="7"/>
        <v>1.579951412372457</v>
      </c>
      <c r="F10" s="3">
        <f t="shared" si="7"/>
        <v>709.70774637311149</v>
      </c>
      <c r="G10" s="3">
        <f>+'[6]Colector Miraflores'!$AB$21</f>
        <v>438.70990117823004</v>
      </c>
      <c r="H10" s="3">
        <f t="shared" si="1"/>
        <v>186.30835649469469</v>
      </c>
      <c r="K10" s="56">
        <f t="shared" si="8"/>
        <v>2026</v>
      </c>
      <c r="L10" s="9">
        <f>+'[6]Colector Miraflores'!$V$21</f>
        <v>18009.34166223248</v>
      </c>
      <c r="M10" s="34">
        <f>+'[6]Colector Miraflores'!$U$21</f>
        <v>43.170133264571021</v>
      </c>
      <c r="N10" s="44">
        <f t="shared" si="2"/>
        <v>2.6982580120132313</v>
      </c>
      <c r="O10" s="34">
        <f t="shared" si="3"/>
        <v>116.48415796080768</v>
      </c>
      <c r="P10" s="34">
        <f t="shared" si="9"/>
        <v>8.6340266529142049</v>
      </c>
      <c r="Q10" s="34">
        <f t="shared" si="4"/>
        <v>125.11818461372188</v>
      </c>
      <c r="R10" s="34">
        <f>+'[6]Colector Miraflores'!$AA$21</f>
        <v>313.59171656450815</v>
      </c>
      <c r="S10" s="57">
        <f t="shared" si="10"/>
        <v>438.70990117823004</v>
      </c>
      <c r="U10" s="46">
        <f t="shared" si="11"/>
        <v>438.70990117823004</v>
      </c>
      <c r="V10" s="34">
        <f t="shared" si="12"/>
        <v>0</v>
      </c>
    </row>
    <row r="11" spans="1:22" x14ac:dyDescent="0.3">
      <c r="B11" s="2">
        <f t="shared" si="5"/>
        <v>2027</v>
      </c>
      <c r="C11" s="3">
        <f t="shared" si="6"/>
        <v>625.01825767292473</v>
      </c>
      <c r="D11" s="3">
        <f t="shared" si="0"/>
        <v>625.01825767292473</v>
      </c>
      <c r="E11" s="3">
        <f t="shared" si="7"/>
        <v>1.579951412372457</v>
      </c>
      <c r="F11" s="3">
        <f t="shared" si="7"/>
        <v>709.70774637311149</v>
      </c>
      <c r="G11" s="3">
        <f>+'[7]Colector Miraflores'!$AB$21</f>
        <v>446.97993943526285</v>
      </c>
      <c r="H11" s="3">
        <f t="shared" si="1"/>
        <v>178.03831823766188</v>
      </c>
      <c r="K11" s="56">
        <f t="shared" si="8"/>
        <v>2027</v>
      </c>
      <c r="L11" s="9">
        <f>+'[7]Colector Miraflores'!$V$21</f>
        <v>18122.862717932541</v>
      </c>
      <c r="M11" s="34">
        <f>+'[7]Colector Miraflores'!$U$21</f>
        <v>43.944745637326662</v>
      </c>
      <c r="N11" s="44">
        <f t="shared" si="2"/>
        <v>2.6955114393641972</v>
      </c>
      <c r="O11" s="34">
        <f t="shared" si="3"/>
        <v>118.45356456536392</v>
      </c>
      <c r="P11" s="34">
        <f t="shared" si="9"/>
        <v>8.7889491274653331</v>
      </c>
      <c r="Q11" s="34">
        <f t="shared" si="4"/>
        <v>127.24251369282925</v>
      </c>
      <c r="R11" s="34">
        <f>+'[7]Colector Miraflores'!$AA$21</f>
        <v>319.73742574243363</v>
      </c>
      <c r="S11" s="57">
        <f t="shared" si="10"/>
        <v>446.97993943526285</v>
      </c>
      <c r="U11" s="46">
        <f t="shared" si="11"/>
        <v>446.97993943526285</v>
      </c>
      <c r="V11" s="34">
        <f t="shared" si="12"/>
        <v>0</v>
      </c>
    </row>
    <row r="12" spans="1:22" x14ac:dyDescent="0.3">
      <c r="B12" s="2">
        <f t="shared" si="5"/>
        <v>2028</v>
      </c>
      <c r="C12" s="3">
        <f t="shared" si="6"/>
        <v>625.01825767292473</v>
      </c>
      <c r="D12" s="3">
        <f t="shared" si="0"/>
        <v>625.01825767292473</v>
      </c>
      <c r="E12" s="3">
        <f t="shared" si="7"/>
        <v>1.579951412372457</v>
      </c>
      <c r="F12" s="3">
        <f t="shared" si="7"/>
        <v>709.70774637311149</v>
      </c>
      <c r="G12" s="3">
        <f>+'[8]Colector Miraflores'!$AB$21</f>
        <v>455.34880042182363</v>
      </c>
      <c r="H12" s="3">
        <f t="shared" si="1"/>
        <v>169.66945725110111</v>
      </c>
      <c r="K12" s="56">
        <f t="shared" si="8"/>
        <v>2028</v>
      </c>
      <c r="L12" s="9">
        <f>+'[8]Colector Miraflores'!$V$21</f>
        <v>18236.997954276609</v>
      </c>
      <c r="M12" s="34">
        <f>+'[8]Colector Miraflores'!$U$21</f>
        <v>44.729734338754241</v>
      </c>
      <c r="N12" s="44">
        <f t="shared" si="2"/>
        <v>2.6927675651907625</v>
      </c>
      <c r="O12" s="34">
        <f t="shared" si="3"/>
        <v>120.44677782699691</v>
      </c>
      <c r="P12" s="34">
        <f t="shared" si="9"/>
        <v>8.9459468677508482</v>
      </c>
      <c r="Q12" s="34">
        <f t="shared" si="4"/>
        <v>129.39272469474776</v>
      </c>
      <c r="R12" s="34">
        <f>+'[8]Colector Miraflores'!$AA$21</f>
        <v>325.95607572707587</v>
      </c>
      <c r="S12" s="57">
        <f t="shared" si="10"/>
        <v>455.34880042182363</v>
      </c>
      <c r="U12" s="46">
        <f t="shared" si="11"/>
        <v>455.34880042182363</v>
      </c>
      <c r="V12" s="34">
        <f t="shared" si="12"/>
        <v>0</v>
      </c>
    </row>
    <row r="13" spans="1:22" x14ac:dyDescent="0.3">
      <c r="B13" s="2">
        <f t="shared" si="5"/>
        <v>2029</v>
      </c>
      <c r="C13" s="3">
        <f t="shared" si="6"/>
        <v>625.01825767292473</v>
      </c>
      <c r="D13" s="3">
        <f t="shared" si="0"/>
        <v>625.01825767292473</v>
      </c>
      <c r="E13" s="3">
        <f t="shared" si="7"/>
        <v>1.579951412372457</v>
      </c>
      <c r="F13" s="3">
        <f t="shared" si="7"/>
        <v>709.70774637311149</v>
      </c>
      <c r="G13" s="3">
        <f>+'[9]Colector Miraflores'!$AB$21</f>
        <v>463.73576176385529</v>
      </c>
      <c r="H13" s="3">
        <f t="shared" si="1"/>
        <v>161.28249590906944</v>
      </c>
      <c r="K13" s="56">
        <f t="shared" si="8"/>
        <v>2029</v>
      </c>
      <c r="L13" s="9">
        <f>+'[9]Colector Miraflores'!$V$21</f>
        <v>18351.542644383346</v>
      </c>
      <c r="M13" s="34">
        <f>+'[9]Colector Miraflores'!$U$21</f>
        <v>45.517886538241505</v>
      </c>
      <c r="N13" s="44">
        <f t="shared" si="2"/>
        <v>2.690031338949848</v>
      </c>
      <c r="O13" s="34">
        <f t="shared" si="3"/>
        <v>122.44454127063305</v>
      </c>
      <c r="P13" s="34">
        <f t="shared" si="9"/>
        <v>9.1035773076483011</v>
      </c>
      <c r="Q13" s="34">
        <f t="shared" si="4"/>
        <v>131.54811857828136</v>
      </c>
      <c r="R13" s="34">
        <f>+'[9]Colector Miraflores'!$AA$21</f>
        <v>332.18764318557396</v>
      </c>
      <c r="S13" s="57">
        <f t="shared" si="10"/>
        <v>463.73576176385529</v>
      </c>
      <c r="U13" s="46">
        <f t="shared" si="11"/>
        <v>463.73576176385529</v>
      </c>
      <c r="V13" s="34">
        <f t="shared" si="12"/>
        <v>0</v>
      </c>
    </row>
    <row r="14" spans="1:22" x14ac:dyDescent="0.3">
      <c r="B14" s="2">
        <f t="shared" si="5"/>
        <v>2030</v>
      </c>
      <c r="C14" s="3">
        <f t="shared" si="6"/>
        <v>625.01825767292473</v>
      </c>
      <c r="D14" s="3">
        <f t="shared" si="0"/>
        <v>625.01825767292473</v>
      </c>
      <c r="E14" s="3">
        <f t="shared" si="7"/>
        <v>1.579951412372457</v>
      </c>
      <c r="F14" s="3">
        <f t="shared" si="7"/>
        <v>709.70774637311149</v>
      </c>
      <c r="G14" s="3">
        <f>+'[10]Colector Miraflores'!$AB$21</f>
        <v>472.20530654972691</v>
      </c>
      <c r="H14" s="3">
        <f t="shared" si="1"/>
        <v>152.81295112319782</v>
      </c>
      <c r="K14" s="56">
        <f t="shared" si="8"/>
        <v>2030</v>
      </c>
      <c r="L14" s="9">
        <f>+'[10]Colector Miraflores'!$V$21</f>
        <v>18466.701515134082</v>
      </c>
      <c r="M14" s="34">
        <f>+'[10]Colector Miraflores'!$U$21</f>
        <v>46.31501100262161</v>
      </c>
      <c r="N14" s="44">
        <f t="shared" si="2"/>
        <v>2.6872978968340737</v>
      </c>
      <c r="O14" s="34">
        <f t="shared" si="3"/>
        <v>124.46223165919204</v>
      </c>
      <c r="P14" s="34">
        <f t="shared" si="9"/>
        <v>9.2630022005243227</v>
      </c>
      <c r="Q14" s="34">
        <f t="shared" si="4"/>
        <v>133.72523385971635</v>
      </c>
      <c r="R14" s="34">
        <f>+'[10]Colector Miraflores'!$AA$21</f>
        <v>338.48007269001056</v>
      </c>
      <c r="S14" s="57">
        <f t="shared" si="10"/>
        <v>472.20530654972691</v>
      </c>
      <c r="U14" s="46">
        <f t="shared" si="11"/>
        <v>472.20530654972691</v>
      </c>
      <c r="V14" s="34">
        <f t="shared" si="12"/>
        <v>0</v>
      </c>
    </row>
    <row r="15" spans="1:22" x14ac:dyDescent="0.3">
      <c r="B15" s="2">
        <f t="shared" si="5"/>
        <v>2031</v>
      </c>
      <c r="C15" s="3">
        <f t="shared" si="6"/>
        <v>625.01825767292473</v>
      </c>
      <c r="D15" s="3">
        <f t="shared" si="0"/>
        <v>625.01825767292473</v>
      </c>
      <c r="E15" s="3">
        <f t="shared" si="7"/>
        <v>1.579951412372457</v>
      </c>
      <c r="F15" s="3">
        <f t="shared" si="7"/>
        <v>709.70774637311149</v>
      </c>
      <c r="G15" s="3">
        <f>+'[11]Colector Miraflores'!$AB$21</f>
        <v>480.74062110972216</v>
      </c>
      <c r="H15" s="3">
        <f t="shared" si="1"/>
        <v>144.27763656320258</v>
      </c>
      <c r="K15" s="56">
        <f t="shared" si="8"/>
        <v>2031</v>
      </c>
      <c r="L15" s="9">
        <f>+'[11]Colector Miraflores'!$V$21</f>
        <v>18582.474566528828</v>
      </c>
      <c r="M15" s="34">
        <f>+'[11]Colector Miraflores'!$U$21</f>
        <v>47.119636072609154</v>
      </c>
      <c r="N15" s="44">
        <f t="shared" si="2"/>
        <v>2.6845673109954848</v>
      </c>
      <c r="O15" s="34">
        <f t="shared" si="3"/>
        <v>126.4958347065302</v>
      </c>
      <c r="P15" s="34">
        <f t="shared" si="9"/>
        <v>9.4239272145218305</v>
      </c>
      <c r="Q15" s="34">
        <f t="shared" si="4"/>
        <v>135.91976192105204</v>
      </c>
      <c r="R15" s="34">
        <f>+'[11]Colector Miraflores'!$AA$21</f>
        <v>344.82085918867011</v>
      </c>
      <c r="S15" s="57">
        <f t="shared" si="10"/>
        <v>480.74062110972216</v>
      </c>
      <c r="U15" s="46">
        <f t="shared" si="11"/>
        <v>480.74062110972216</v>
      </c>
      <c r="V15" s="34">
        <f t="shared" si="12"/>
        <v>0</v>
      </c>
    </row>
    <row r="16" spans="1:22" x14ac:dyDescent="0.3">
      <c r="B16" s="2">
        <f t="shared" si="5"/>
        <v>2032</v>
      </c>
      <c r="C16" s="3">
        <f t="shared" si="6"/>
        <v>625.01825767292473</v>
      </c>
      <c r="D16" s="3">
        <f t="shared" si="0"/>
        <v>625.01825767292473</v>
      </c>
      <c r="E16" s="3">
        <f t="shared" si="7"/>
        <v>1.579951412372457</v>
      </c>
      <c r="F16" s="3">
        <f t="shared" si="7"/>
        <v>709.70774637311149</v>
      </c>
      <c r="G16" s="3">
        <f>+'[12]Colector Miraflores'!$AB$21</f>
        <v>489.37531736871347</v>
      </c>
      <c r="H16" s="3">
        <f t="shared" si="1"/>
        <v>135.64294030421127</v>
      </c>
      <c r="K16" s="56">
        <f t="shared" si="8"/>
        <v>2032</v>
      </c>
      <c r="L16" s="9">
        <f>+'[12]Colector Miraflores'!$V$21</f>
        <v>18698.861798567574</v>
      </c>
      <c r="M16" s="34">
        <f>+'[12]Colector Miraflores'!$U$21</f>
        <v>47.93477130454319</v>
      </c>
      <c r="N16" s="44">
        <f t="shared" si="2"/>
        <v>2.6818396521193772</v>
      </c>
      <c r="O16" s="34">
        <f t="shared" si="3"/>
        <v>128.55337039979801</v>
      </c>
      <c r="P16" s="34">
        <f t="shared" si="9"/>
        <v>9.5869542609086391</v>
      </c>
      <c r="Q16" s="34">
        <f t="shared" si="4"/>
        <v>138.14032466070665</v>
      </c>
      <c r="R16" s="34">
        <f>+'[12]Colector Miraflores'!$AA$21</f>
        <v>351.23499270800681</v>
      </c>
      <c r="S16" s="57">
        <f t="shared" si="10"/>
        <v>489.37531736871347</v>
      </c>
      <c r="U16" s="46">
        <f t="shared" si="11"/>
        <v>489.37531736871347</v>
      </c>
      <c r="V16" s="34">
        <f t="shared" si="12"/>
        <v>0</v>
      </c>
    </row>
    <row r="17" spans="2:22" x14ac:dyDescent="0.3">
      <c r="B17" s="2">
        <f t="shared" si="5"/>
        <v>2033</v>
      </c>
      <c r="C17" s="3">
        <f t="shared" si="6"/>
        <v>625.01825767292473</v>
      </c>
      <c r="D17" s="3">
        <f t="shared" si="0"/>
        <v>625.01825767292473</v>
      </c>
      <c r="E17" s="3">
        <f t="shared" si="7"/>
        <v>1.579951412372457</v>
      </c>
      <c r="F17" s="3">
        <f t="shared" si="7"/>
        <v>709.70774637311149</v>
      </c>
      <c r="G17" s="3">
        <f>+'[13]Colector Miraflores'!$AB$21</f>
        <v>498.02360864817092</v>
      </c>
      <c r="H17" s="3">
        <f t="shared" si="1"/>
        <v>126.99464902475381</v>
      </c>
      <c r="K17" s="56">
        <f t="shared" si="8"/>
        <v>2033</v>
      </c>
      <c r="L17" s="9">
        <f>+'[13]Colector Miraflores'!$V$21</f>
        <v>18815.965574690996</v>
      </c>
      <c r="M17" s="34">
        <f>+'[13]Colector Miraflores'!$U$21</f>
        <v>48.752843467196556</v>
      </c>
      <c r="N17" s="44">
        <f t="shared" si="2"/>
        <v>2.6791126132364793</v>
      </c>
      <c r="O17" s="34">
        <f t="shared" si="3"/>
        <v>130.61435786410999</v>
      </c>
      <c r="P17" s="34">
        <f t="shared" si="9"/>
        <v>9.7505686934393125</v>
      </c>
      <c r="Q17" s="34">
        <f t="shared" si="4"/>
        <v>140.3649265575493</v>
      </c>
      <c r="R17" s="34">
        <f>+'[13]Colector Miraflores'!$AA$21</f>
        <v>357.6586820906216</v>
      </c>
      <c r="S17" s="57">
        <f t="shared" si="10"/>
        <v>498.02360864817092</v>
      </c>
      <c r="U17" s="46">
        <f t="shared" si="11"/>
        <v>498.02360864817092</v>
      </c>
      <c r="V17" s="34">
        <f t="shared" si="12"/>
        <v>0</v>
      </c>
    </row>
    <row r="18" spans="2:22" x14ac:dyDescent="0.3">
      <c r="B18" s="2">
        <f t="shared" si="5"/>
        <v>2034</v>
      </c>
      <c r="C18" s="3">
        <f t="shared" si="6"/>
        <v>625.01825767292473</v>
      </c>
      <c r="D18" s="3">
        <f t="shared" si="0"/>
        <v>625.01825767292473</v>
      </c>
      <c r="E18" s="3">
        <f t="shared" si="7"/>
        <v>1.579951412372457</v>
      </c>
      <c r="F18" s="3">
        <f t="shared" si="7"/>
        <v>709.70774637311149</v>
      </c>
      <c r="G18" s="3">
        <f>+'[14]Colector Miraflores'!$AB$21</f>
        <v>506.75558773128932</v>
      </c>
      <c r="H18" s="3">
        <f t="shared" si="1"/>
        <v>118.26266994163541</v>
      </c>
      <c r="K18" s="56">
        <f t="shared" si="8"/>
        <v>2034</v>
      </c>
      <c r="L18" s="9">
        <f>+'[14]Colector Miraflores'!$V$21</f>
        <v>18933.478804577084</v>
      </c>
      <c r="M18" s="34">
        <f>+'[14]Colector Miraflores'!$U$21</f>
        <v>49.579980628808542</v>
      </c>
      <c r="N18" s="44">
        <f t="shared" si="2"/>
        <v>2.6763933907826063</v>
      </c>
      <c r="O18" s="34">
        <f t="shared" si="3"/>
        <v>132.69553247007283</v>
      </c>
      <c r="P18" s="34">
        <f t="shared" si="9"/>
        <v>9.9159961257617084</v>
      </c>
      <c r="Q18" s="34">
        <f t="shared" si="4"/>
        <v>142.61152859583456</v>
      </c>
      <c r="R18" s="34">
        <f>+'[14]Colector Miraflores'!$AA$21</f>
        <v>364.14405913545477</v>
      </c>
      <c r="S18" s="57">
        <f t="shared" si="10"/>
        <v>506.75558773128932</v>
      </c>
      <c r="U18" s="46">
        <f t="shared" si="11"/>
        <v>506.75558773128932</v>
      </c>
      <c r="V18" s="34">
        <f t="shared" si="12"/>
        <v>0</v>
      </c>
    </row>
    <row r="19" spans="2:22" x14ac:dyDescent="0.3">
      <c r="B19" s="2">
        <f t="shared" si="5"/>
        <v>2035</v>
      </c>
      <c r="C19" s="3">
        <f t="shared" si="6"/>
        <v>625.01825767292473</v>
      </c>
      <c r="D19" s="3">
        <f t="shared" si="0"/>
        <v>625.01825767292473</v>
      </c>
      <c r="E19" s="3">
        <f t="shared" si="7"/>
        <v>1.579951412372457</v>
      </c>
      <c r="F19" s="3">
        <f t="shared" si="7"/>
        <v>709.70774637311149</v>
      </c>
      <c r="G19" s="3">
        <f>+'[15]Colector Miraflores'!$AB$21</f>
        <v>515.55157382184916</v>
      </c>
      <c r="H19" s="3">
        <f t="shared" si="1"/>
        <v>109.46668385107557</v>
      </c>
      <c r="K19" s="56">
        <f t="shared" si="8"/>
        <v>2035</v>
      </c>
      <c r="L19" s="9">
        <f>+'[15]Colector Miraflores'!$V$21</f>
        <v>19051.810941988511</v>
      </c>
      <c r="M19" s="34">
        <f>+'[15]Colector Miraflores'!$U$21</f>
        <v>50.414618396027969</v>
      </c>
      <c r="N19" s="44">
        <f t="shared" si="2"/>
        <v>2.6736725763614162</v>
      </c>
      <c r="O19" s="34">
        <f t="shared" si="3"/>
        <v>134.79218265318573</v>
      </c>
      <c r="P19" s="34">
        <f t="shared" si="9"/>
        <v>10.082923679205594</v>
      </c>
      <c r="Q19" s="34">
        <f t="shared" si="4"/>
        <v>144.87510633239134</v>
      </c>
      <c r="R19" s="34">
        <f>+'[15]Colector Miraflores'!$AA$21</f>
        <v>370.67646748945782</v>
      </c>
      <c r="S19" s="57">
        <f t="shared" si="10"/>
        <v>515.55157382184916</v>
      </c>
      <c r="U19" s="46">
        <f t="shared" si="11"/>
        <v>515.55157382184916</v>
      </c>
      <c r="V19" s="34">
        <f t="shared" si="12"/>
        <v>0</v>
      </c>
    </row>
    <row r="20" spans="2:22" x14ac:dyDescent="0.3">
      <c r="B20" s="2">
        <f t="shared" si="5"/>
        <v>2036</v>
      </c>
      <c r="C20" s="3">
        <f t="shared" si="6"/>
        <v>625.01825767292473</v>
      </c>
      <c r="D20" s="3">
        <f t="shared" si="0"/>
        <v>625.01825767292473</v>
      </c>
      <c r="E20" s="3">
        <f t="shared" si="7"/>
        <v>1.579951412372457</v>
      </c>
      <c r="F20" s="3">
        <f t="shared" si="7"/>
        <v>709.70774637311149</v>
      </c>
      <c r="G20" s="3">
        <f>+'[16]Colector Miraflores'!$AB$21</f>
        <v>524.44797075525423</v>
      </c>
      <c r="H20" s="3">
        <f t="shared" si="1"/>
        <v>100.5702869176705</v>
      </c>
      <c r="K20" s="56">
        <f t="shared" si="8"/>
        <v>2036</v>
      </c>
      <c r="L20" s="9">
        <f>+'[16]Colector Miraflores'!$V$21</f>
        <v>19170.654896603279</v>
      </c>
      <c r="M20" s="34">
        <f>+'[16]Colector Miraflores'!$U$21</f>
        <v>51.25990015846849</v>
      </c>
      <c r="N20" s="44">
        <f t="shared" si="2"/>
        <v>2.6709573184207107</v>
      </c>
      <c r="O20" s="34">
        <f t="shared" si="3"/>
        <v>136.91300546977635</v>
      </c>
      <c r="P20" s="34">
        <f t="shared" si="9"/>
        <v>10.251980031693698</v>
      </c>
      <c r="Q20" s="34">
        <f t="shared" si="4"/>
        <v>147.16498550147006</v>
      </c>
      <c r="R20" s="34">
        <f>+'[16]Colector Miraflores'!$AA$21</f>
        <v>377.28298525378415</v>
      </c>
      <c r="S20" s="57">
        <f t="shared" si="10"/>
        <v>524.44797075525423</v>
      </c>
      <c r="U20" s="46">
        <f t="shared" si="11"/>
        <v>524.44797075525423</v>
      </c>
      <c r="V20" s="34">
        <f t="shared" si="12"/>
        <v>0</v>
      </c>
    </row>
    <row r="21" spans="2:22" ht="13.8" thickBot="1" x14ac:dyDescent="0.35">
      <c r="B21" s="2">
        <f t="shared" si="5"/>
        <v>2037</v>
      </c>
      <c r="C21" s="3">
        <f t="shared" si="6"/>
        <v>625.01825767292473</v>
      </c>
      <c r="D21" s="3">
        <f t="shared" si="0"/>
        <v>625.01825767292473</v>
      </c>
      <c r="E21" s="3">
        <f t="shared" si="7"/>
        <v>1.579951412372457</v>
      </c>
      <c r="F21" s="3">
        <f t="shared" si="7"/>
        <v>709.70774637311149</v>
      </c>
      <c r="G21" s="3">
        <f>+'[17]Colector Miraflores'!$AB$21</f>
        <v>533.35483760973352</v>
      </c>
      <c r="H21" s="3">
        <f t="shared" si="1"/>
        <v>91.663420063191211</v>
      </c>
      <c r="I21" s="13">
        <f>+G21/G6-1</f>
        <v>0.32213767237083202</v>
      </c>
      <c r="K21" s="58">
        <f t="shared" si="8"/>
        <v>2037</v>
      </c>
      <c r="L21" s="59">
        <f>+'[17]Colector Miraflores'!$V$21</f>
        <v>19290.215395302712</v>
      </c>
      <c r="M21" s="60">
        <f>+'[17]Colector Miraflores'!$U$21</f>
        <v>52.107892284287956</v>
      </c>
      <c r="N21" s="61">
        <f t="shared" si="2"/>
        <v>2.668243002937162</v>
      </c>
      <c r="O21" s="60">
        <f t="shared" si="3"/>
        <v>139.03651898535466</v>
      </c>
      <c r="P21" s="60">
        <f t="shared" si="9"/>
        <v>10.421578456857592</v>
      </c>
      <c r="Q21" s="60">
        <f t="shared" si="4"/>
        <v>149.45809744221225</v>
      </c>
      <c r="R21" s="60">
        <f>+'[17]Colector Miraflores'!$AA$21</f>
        <v>383.89674016752133</v>
      </c>
      <c r="S21" s="62">
        <f t="shared" si="10"/>
        <v>533.35483760973352</v>
      </c>
      <c r="U21" s="46">
        <f t="shared" si="11"/>
        <v>533.35483760973352</v>
      </c>
      <c r="V21" s="34">
        <f t="shared" si="12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AF44"/>
  <sheetViews>
    <sheetView showGridLines="0" zoomScale="85" zoomScaleNormal="90" workbookViewId="0">
      <selection activeCell="P12" sqref="P12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2" ht="14.4" thickBot="1" x14ac:dyDescent="0.35">
      <c r="V1"/>
      <c r="W1"/>
      <c r="X1"/>
      <c r="Y1"/>
      <c r="Z1"/>
      <c r="AA1"/>
      <c r="AB1"/>
      <c r="AC1"/>
    </row>
    <row r="2" spans="1:32" x14ac:dyDescent="0.3">
      <c r="B2" s="5" t="s">
        <v>79</v>
      </c>
      <c r="E2" s="6" t="s">
        <v>7</v>
      </c>
      <c r="F2" s="7">
        <f>+'[17]Colector Gral Lagos I-V'!$N$50</f>
        <v>675.53</v>
      </c>
      <c r="G2" s="8" t="s">
        <v>8</v>
      </c>
      <c r="L2" s="5" t="s">
        <v>80</v>
      </c>
      <c r="O2" s="6"/>
      <c r="P2" s="7"/>
      <c r="Q2" s="8"/>
      <c r="U2" s="47"/>
      <c r="V2" s="48" t="s">
        <v>98</v>
      </c>
      <c r="W2" s="49"/>
      <c r="X2" s="49"/>
      <c r="Y2" s="49"/>
      <c r="Z2" s="49"/>
      <c r="AA2" s="49"/>
      <c r="AB2" s="49"/>
      <c r="AC2" s="50"/>
    </row>
    <row r="3" spans="1:32" x14ac:dyDescent="0.3">
      <c r="L3" s="42" t="s">
        <v>215</v>
      </c>
      <c r="U3" s="51"/>
      <c r="V3" s="42" t="s">
        <v>209</v>
      </c>
      <c r="Y3" s="12" t="s">
        <v>212</v>
      </c>
      <c r="AC3" s="52"/>
    </row>
    <row r="4" spans="1:3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96" t="s">
        <v>0</v>
      </c>
      <c r="M4" s="96" t="s">
        <v>13</v>
      </c>
      <c r="N4" s="97" t="s">
        <v>14</v>
      </c>
      <c r="O4" s="98"/>
      <c r="P4" s="98"/>
      <c r="Q4" s="99"/>
      <c r="R4" s="100" t="s">
        <v>19</v>
      </c>
      <c r="U4" s="51"/>
      <c r="Z4" s="53">
        <v>0.2</v>
      </c>
      <c r="AB4" s="43" t="s">
        <v>94</v>
      </c>
      <c r="AC4" s="52"/>
    </row>
    <row r="5" spans="1:3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6"/>
      <c r="M5" s="96"/>
      <c r="N5" s="18" t="s">
        <v>17</v>
      </c>
      <c r="O5" s="18" t="s">
        <v>16</v>
      </c>
      <c r="P5" s="18" t="s">
        <v>15</v>
      </c>
      <c r="Q5" s="18" t="s">
        <v>18</v>
      </c>
      <c r="R5" s="101"/>
      <c r="U5" s="54" t="s">
        <v>0</v>
      </c>
      <c r="V5" s="45" t="s">
        <v>90</v>
      </c>
      <c r="W5" s="45" t="s">
        <v>99</v>
      </c>
      <c r="X5" s="45" t="s">
        <v>91</v>
      </c>
      <c r="Y5" s="45" t="s">
        <v>92</v>
      </c>
      <c r="Z5" s="45" t="s">
        <v>93</v>
      </c>
      <c r="AA5" s="45" t="s">
        <v>100</v>
      </c>
      <c r="AB5" s="45"/>
      <c r="AC5" s="55" t="s">
        <v>101</v>
      </c>
      <c r="AD5" s="45"/>
      <c r="AE5" s="45" t="s">
        <v>92</v>
      </c>
      <c r="AF5" s="45" t="s">
        <v>97</v>
      </c>
    </row>
    <row r="6" spans="1:32" x14ac:dyDescent="0.3">
      <c r="A6" s="12" t="s">
        <v>6</v>
      </c>
      <c r="B6" s="2">
        <f>+'Colec Gral Lagos IV'!B6</f>
        <v>2022</v>
      </c>
      <c r="C6" s="3">
        <f>+SUMPRODUCT('[17]Colector Gral Lagos I-V'!$AL$43:$AL$50,'[17]Colector Gral Lagos I-V'!$M$43:$M$50)/F2</f>
        <v>447.92800641130873</v>
      </c>
      <c r="D6" s="3">
        <f t="shared" ref="D6:D21" si="0">+C6</f>
        <v>447.92800641130873</v>
      </c>
      <c r="E6" s="3">
        <f>D6/(0.25*PI()*(F6/1000)^2)/1000</f>
        <v>1.1639176550148242</v>
      </c>
      <c r="F6" s="3">
        <f>+SUMPRODUCT('[17]Colector Gral Lagos I-V'!$F$43:$F$50,'[17]Colector Gral Lagos I-V'!$M$43:$M$50)/F2</f>
        <v>700</v>
      </c>
      <c r="G6" s="3">
        <f>+'[2]Colector Gral Lagos I-V'!$AB$50</f>
        <v>398.75376050318715</v>
      </c>
      <c r="H6" s="95">
        <f t="shared" ref="H6:H21" si="1">+D6-G6</f>
        <v>49.174245908121577</v>
      </c>
      <c r="L6" s="2">
        <f>+B6</f>
        <v>2022</v>
      </c>
      <c r="M6" s="1"/>
      <c r="N6" s="14"/>
      <c r="O6" s="14"/>
      <c r="P6" s="14"/>
      <c r="Q6" s="14"/>
      <c r="R6" s="1"/>
      <c r="U6" s="56">
        <f>+L6</f>
        <v>2022</v>
      </c>
      <c r="V6" s="80">
        <f>+'[2]Colector Gral Lagos I-V'!$V$50</f>
        <v>16906.068955405204</v>
      </c>
      <c r="W6" s="81">
        <f>+'[2]Colector Gral Lagos I-V'!$U$50</f>
        <v>38.076017912569725</v>
      </c>
      <c r="X6" s="44">
        <f>1+(14/(4+(SQRT(V6/1000))))</f>
        <v>2.7259022973345823</v>
      </c>
      <c r="Y6" s="34">
        <f t="shared" ref="Y6:Y21" si="2">+X6*W6</f>
        <v>103.79150470122651</v>
      </c>
      <c r="Z6" s="34">
        <f>+W6*$Z$4</f>
        <v>7.6152035825139457</v>
      </c>
      <c r="AA6" s="34">
        <f>+Z6+Y6</f>
        <v>111.40670828374046</v>
      </c>
      <c r="AB6" s="81">
        <f>+'[2]Colector Gral Lagos I-V'!$AA$50</f>
        <v>287.34705221944671</v>
      </c>
      <c r="AC6" s="57">
        <f>+AB6+AA6</f>
        <v>398.75376050318715</v>
      </c>
      <c r="AE6" s="46">
        <f>+G6</f>
        <v>398.75376050318715</v>
      </c>
      <c r="AF6" s="34">
        <f>+AE6-AC6</f>
        <v>0</v>
      </c>
    </row>
    <row r="7" spans="1:32" x14ac:dyDescent="0.3">
      <c r="B7" s="2">
        <f t="shared" ref="B7:B21" si="3">+B6+1</f>
        <v>2023</v>
      </c>
      <c r="C7" s="3">
        <f t="shared" ref="C7:C21" si="4">+C6</f>
        <v>447.92800641130873</v>
      </c>
      <c r="D7" s="3">
        <f t="shared" si="0"/>
        <v>447.92800641130873</v>
      </c>
      <c r="E7" s="3">
        <f t="shared" ref="E7:F21" si="5">+E6</f>
        <v>1.1639176550148242</v>
      </c>
      <c r="F7" s="3">
        <f t="shared" si="5"/>
        <v>700</v>
      </c>
      <c r="G7" s="3">
        <f>+'[3]Colector Gral Lagos I-V'!$AB$50</f>
        <v>409.49246486583093</v>
      </c>
      <c r="H7" s="95">
        <f t="shared" si="1"/>
        <v>38.435541545477804</v>
      </c>
      <c r="L7" s="2">
        <f t="shared" ref="L7:L21" si="6">+L6+1</f>
        <v>2023</v>
      </c>
      <c r="M7" s="1"/>
      <c r="N7" s="14"/>
      <c r="O7" s="14"/>
      <c r="P7" s="14"/>
      <c r="Q7" s="14"/>
      <c r="R7" s="1"/>
      <c r="U7" s="56">
        <f t="shared" ref="U7:U21" si="7">+L7</f>
        <v>2023</v>
      </c>
      <c r="V7" s="80">
        <f>+'[3]Colector Gral Lagos I-V'!$V$50</f>
        <v>17012.24376928986</v>
      </c>
      <c r="W7" s="81">
        <f>+'[3]Colector Gral Lagos I-V'!$U$50</f>
        <v>39.017073973525356</v>
      </c>
      <c r="X7" s="44">
        <f>1+(14/(4+(SQRT(V7/1000))))</f>
        <v>2.7231638482647664</v>
      </c>
      <c r="Y7" s="34">
        <f t="shared" si="2"/>
        <v>106.24988530977637</v>
      </c>
      <c r="Z7" s="34">
        <f t="shared" ref="Z7:Z21" si="8">+W7*$Z$4</f>
        <v>7.8034147947050716</v>
      </c>
      <c r="AA7" s="34">
        <f t="shared" ref="AA7:AA21" si="9">+Z7+Y7</f>
        <v>114.05330010448145</v>
      </c>
      <c r="AB7" s="81">
        <f>+'[3]Colector Gral Lagos I-V'!$AA$50</f>
        <v>295.43916476134945</v>
      </c>
      <c r="AC7" s="57">
        <f t="shared" ref="AC7:AC21" si="10">+AB7+AA7</f>
        <v>409.49246486583093</v>
      </c>
      <c r="AE7" s="46">
        <f t="shared" ref="AE7:AE21" si="11">+G7</f>
        <v>409.49246486583093</v>
      </c>
      <c r="AF7" s="34">
        <f t="shared" ref="AF7:AF21" si="12">+AE7-AC7</f>
        <v>0</v>
      </c>
    </row>
    <row r="8" spans="1:32" x14ac:dyDescent="0.3">
      <c r="B8" s="2">
        <f t="shared" si="3"/>
        <v>2024</v>
      </c>
      <c r="C8" s="3">
        <f t="shared" si="4"/>
        <v>447.92800641130873</v>
      </c>
      <c r="D8" s="3">
        <f t="shared" si="0"/>
        <v>447.92800641130873</v>
      </c>
      <c r="E8" s="3">
        <f t="shared" si="5"/>
        <v>1.1639176550148242</v>
      </c>
      <c r="F8" s="3">
        <f t="shared" si="5"/>
        <v>700</v>
      </c>
      <c r="G8" s="3">
        <f>+'[4]Colector Gral Lagos I-V'!$AB$50</f>
        <v>417.48421824563729</v>
      </c>
      <c r="H8" s="95">
        <f t="shared" si="1"/>
        <v>30.443788165671435</v>
      </c>
      <c r="L8" s="2">
        <f t="shared" si="6"/>
        <v>2024</v>
      </c>
      <c r="M8" s="1"/>
      <c r="N8" s="4"/>
      <c r="O8" s="3"/>
      <c r="P8" s="1"/>
      <c r="Q8" s="3"/>
      <c r="R8" s="1"/>
      <c r="U8" s="56">
        <f t="shared" si="7"/>
        <v>2024</v>
      </c>
      <c r="V8" s="80">
        <f>+'[4]Colector Gral Lagos I-V'!$V$50</f>
        <v>17118.906070841564</v>
      </c>
      <c r="W8" s="81">
        <f>+'[4]Colector Gral Lagos I-V'!$U$50</f>
        <v>39.728601758528313</v>
      </c>
      <c r="X8" s="44">
        <f t="shared" ref="X8:X21" si="13">1+(14/(4+(SQRT(V8/1000))))</f>
        <v>2.720430112104244</v>
      </c>
      <c r="Y8" s="34">
        <f t="shared" si="2"/>
        <v>108.07888453569805</v>
      </c>
      <c r="Z8" s="34">
        <f t="shared" si="8"/>
        <v>7.9457203517056634</v>
      </c>
      <c r="AA8" s="34">
        <f t="shared" si="9"/>
        <v>116.02460488740371</v>
      </c>
      <c r="AB8" s="81">
        <f>+'[4]Colector Gral Lagos I-V'!$AA$50</f>
        <v>301.45961335823358</v>
      </c>
      <c r="AC8" s="57">
        <f t="shared" si="10"/>
        <v>417.48421824563729</v>
      </c>
      <c r="AE8" s="46">
        <f t="shared" si="11"/>
        <v>417.48421824563729</v>
      </c>
      <c r="AF8" s="34">
        <f t="shared" si="12"/>
        <v>0</v>
      </c>
    </row>
    <row r="9" spans="1:32" x14ac:dyDescent="0.3">
      <c r="B9" s="2">
        <f t="shared" si="3"/>
        <v>2025</v>
      </c>
      <c r="C9" s="3">
        <f t="shared" si="4"/>
        <v>447.92800641130873</v>
      </c>
      <c r="D9" s="3">
        <f t="shared" si="0"/>
        <v>447.92800641130873</v>
      </c>
      <c r="E9" s="3">
        <f t="shared" si="5"/>
        <v>1.1639176550148242</v>
      </c>
      <c r="F9" s="3">
        <f t="shared" si="5"/>
        <v>700</v>
      </c>
      <c r="G9" s="3">
        <f>+'[5]Colector Gral Lagos I-V'!$AB$50</f>
        <v>425.49692990688396</v>
      </c>
      <c r="H9" s="95">
        <f t="shared" si="1"/>
        <v>22.431076504424766</v>
      </c>
      <c r="L9" s="2">
        <f t="shared" si="6"/>
        <v>2025</v>
      </c>
      <c r="M9" s="1"/>
      <c r="N9" s="4"/>
      <c r="O9" s="3"/>
      <c r="P9" s="1"/>
      <c r="Q9" s="3"/>
      <c r="R9" s="1"/>
      <c r="U9" s="56">
        <f t="shared" si="7"/>
        <v>2025</v>
      </c>
      <c r="V9" s="80">
        <f>+'[5]Colector Gral Lagos I-V'!$V$50</f>
        <v>17225.958362526922</v>
      </c>
      <c r="W9" s="81">
        <f>+'[5]Colector Gral Lagos I-V'!$U$50</f>
        <v>40.443325080052716</v>
      </c>
      <c r="X9" s="44">
        <f t="shared" si="13"/>
        <v>2.7177035975524193</v>
      </c>
      <c r="Y9" s="34">
        <f t="shared" si="2"/>
        <v>109.91297006704126</v>
      </c>
      <c r="Z9" s="34">
        <f t="shared" si="8"/>
        <v>8.0886650160105429</v>
      </c>
      <c r="AA9" s="34">
        <f t="shared" si="9"/>
        <v>118.0016350830518</v>
      </c>
      <c r="AB9" s="81">
        <f>+'[5]Colector Gral Lagos I-V'!$AA$50</f>
        <v>307.49529482383218</v>
      </c>
      <c r="AC9" s="57">
        <f t="shared" si="10"/>
        <v>425.49692990688396</v>
      </c>
      <c r="AE9" s="46">
        <f t="shared" si="11"/>
        <v>425.49692990688396</v>
      </c>
      <c r="AF9" s="34">
        <f t="shared" si="12"/>
        <v>0</v>
      </c>
    </row>
    <row r="10" spans="1:32" x14ac:dyDescent="0.3">
      <c r="B10" s="2">
        <f t="shared" si="3"/>
        <v>2026</v>
      </c>
      <c r="C10" s="3">
        <f t="shared" si="4"/>
        <v>447.92800641130873</v>
      </c>
      <c r="D10" s="3">
        <f t="shared" si="0"/>
        <v>447.92800641130873</v>
      </c>
      <c r="E10" s="3">
        <f t="shared" si="5"/>
        <v>1.1639176550148242</v>
      </c>
      <c r="F10" s="3">
        <f t="shared" si="5"/>
        <v>700</v>
      </c>
      <c r="G10" s="3">
        <f>+'[6]Colector Gral Lagos I-V'!$AB$50</f>
        <v>433.59097698932402</v>
      </c>
      <c r="H10" s="95">
        <f t="shared" si="1"/>
        <v>14.33702942198471</v>
      </c>
      <c r="L10" s="2">
        <f t="shared" si="6"/>
        <v>2026</v>
      </c>
      <c r="M10" s="1"/>
      <c r="N10" s="4"/>
      <c r="O10" s="3"/>
      <c r="P10" s="1"/>
      <c r="Q10" s="3"/>
      <c r="R10" s="1"/>
      <c r="U10" s="56">
        <f t="shared" si="7"/>
        <v>2026</v>
      </c>
      <c r="V10" s="80">
        <f>+'[6]Colector Gral Lagos I-V'!$V$50</f>
        <v>17333.595639412739</v>
      </c>
      <c r="W10" s="81">
        <f>+'[6]Colector Gral Lagos I-V'!$U$50</f>
        <v>41.166418406784352</v>
      </c>
      <c r="X10" s="44">
        <f t="shared" si="13"/>
        <v>2.7149793707834355</v>
      </c>
      <c r="Y10" s="34">
        <f t="shared" si="2"/>
        <v>111.76597674345902</v>
      </c>
      <c r="Z10" s="34">
        <f t="shared" si="8"/>
        <v>8.2332836813568715</v>
      </c>
      <c r="AA10" s="34">
        <f t="shared" si="9"/>
        <v>119.99926042481589</v>
      </c>
      <c r="AB10" s="81">
        <f>+'[6]Colector Gral Lagos I-V'!$AA$50</f>
        <v>313.59171656450815</v>
      </c>
      <c r="AC10" s="57">
        <f t="shared" si="10"/>
        <v>433.59097698932402</v>
      </c>
      <c r="AE10" s="46">
        <f t="shared" si="11"/>
        <v>433.59097698932402</v>
      </c>
      <c r="AF10" s="34">
        <f t="shared" si="12"/>
        <v>0</v>
      </c>
    </row>
    <row r="11" spans="1:32" x14ac:dyDescent="0.3">
      <c r="B11" s="2">
        <f t="shared" si="3"/>
        <v>2027</v>
      </c>
      <c r="C11" s="3">
        <f t="shared" si="4"/>
        <v>447.92800641130873</v>
      </c>
      <c r="D11" s="3">
        <f t="shared" si="0"/>
        <v>447.92800641130873</v>
      </c>
      <c r="E11" s="3">
        <f t="shared" si="5"/>
        <v>1.1639176550148242</v>
      </c>
      <c r="F11" s="3">
        <f t="shared" si="5"/>
        <v>700</v>
      </c>
      <c r="G11" s="3">
        <f>+'[7]Colector Gral Lagos I-V'!$AB$50</f>
        <v>441.75116354619217</v>
      </c>
      <c r="H11" s="95">
        <f t="shared" si="1"/>
        <v>6.176842865116555</v>
      </c>
      <c r="L11" s="2">
        <f t="shared" si="6"/>
        <v>2027</v>
      </c>
      <c r="M11" s="3"/>
      <c r="N11" s="4"/>
      <c r="O11" s="3"/>
      <c r="P11" s="1"/>
      <c r="Q11" s="3"/>
      <c r="R11" s="1"/>
      <c r="U11" s="56">
        <f t="shared" si="7"/>
        <v>2027</v>
      </c>
      <c r="V11" s="80">
        <f>+'[7]Colector Gral Lagos I-V'!$V$50</f>
        <v>17441.720403965614</v>
      </c>
      <c r="W11" s="81">
        <f>+'[7]Colector Gral Lagos I-V'!$U$50</f>
        <v>41.896581939049845</v>
      </c>
      <c r="X11" s="44">
        <f t="shared" si="13"/>
        <v>2.7122599543146806</v>
      </c>
      <c r="Y11" s="34">
        <f t="shared" si="2"/>
        <v>113.63442141594861</v>
      </c>
      <c r="Z11" s="34">
        <f t="shared" si="8"/>
        <v>8.3793163878099701</v>
      </c>
      <c r="AA11" s="34">
        <f t="shared" si="9"/>
        <v>122.01373780375857</v>
      </c>
      <c r="AB11" s="81">
        <f>+'[7]Colector Gral Lagos I-V'!$AA$50</f>
        <v>319.73742574243363</v>
      </c>
      <c r="AC11" s="57">
        <f t="shared" si="10"/>
        <v>441.75116354619217</v>
      </c>
      <c r="AE11" s="46">
        <f t="shared" si="11"/>
        <v>441.75116354619217</v>
      </c>
      <c r="AF11" s="34">
        <f t="shared" si="12"/>
        <v>0</v>
      </c>
    </row>
    <row r="12" spans="1:32" x14ac:dyDescent="0.3">
      <c r="B12" s="2">
        <f t="shared" si="3"/>
        <v>2028</v>
      </c>
      <c r="C12" s="3">
        <f t="shared" si="4"/>
        <v>447.92800641130873</v>
      </c>
      <c r="D12" s="3">
        <f t="shared" si="0"/>
        <v>447.92800641130873</v>
      </c>
      <c r="E12" s="3">
        <f t="shared" si="5"/>
        <v>1.1639176550148242</v>
      </c>
      <c r="F12" s="3">
        <f t="shared" si="5"/>
        <v>700</v>
      </c>
      <c r="G12" s="3">
        <f>+'[8]Colector Gral Lagos I-V'!$AB$50</f>
        <v>450.00888046794086</v>
      </c>
      <c r="H12" s="95">
        <f t="shared" si="1"/>
        <v>-2.0808740566321262</v>
      </c>
      <c r="L12" s="2">
        <f t="shared" si="6"/>
        <v>2028</v>
      </c>
      <c r="M12" s="3">
        <f>+AC35</f>
        <v>209.80743137155903</v>
      </c>
      <c r="N12" s="4"/>
      <c r="O12" s="3"/>
      <c r="P12" s="3">
        <f>+C12</f>
        <v>447.92800641130873</v>
      </c>
      <c r="Q12" s="3">
        <f>+E12</f>
        <v>1.1639176550148242</v>
      </c>
      <c r="R12" s="3">
        <f>+P12-M12</f>
        <v>238.1205750397497</v>
      </c>
      <c r="U12" s="82">
        <f t="shared" si="7"/>
        <v>2028</v>
      </c>
      <c r="V12" s="83">
        <f>+'[8]Colector Gral Lagos I-V'!$V$50</f>
        <v>17550.430153718953</v>
      </c>
      <c r="W12" s="84">
        <f>+'[8]Colector Gral Lagos I-V'!$U$50</f>
        <v>42.636526385049123</v>
      </c>
      <c r="X12" s="85">
        <f t="shared" si="13"/>
        <v>2.7095429496424734</v>
      </c>
      <c r="Y12" s="86">
        <f t="shared" si="2"/>
        <v>115.52549946385514</v>
      </c>
      <c r="Z12" s="86">
        <f t="shared" si="8"/>
        <v>8.527305277009825</v>
      </c>
      <c r="AA12" s="86">
        <f t="shared" si="9"/>
        <v>124.05280474086497</v>
      </c>
      <c r="AB12" s="84">
        <f>+'[8]Colector Gral Lagos I-V'!$AA$50</f>
        <v>325.95607572707587</v>
      </c>
      <c r="AC12" s="87">
        <f t="shared" si="10"/>
        <v>450.00888046794086</v>
      </c>
      <c r="AE12" s="46">
        <f t="shared" si="11"/>
        <v>450.00888046794086</v>
      </c>
      <c r="AF12" s="34">
        <f t="shared" si="12"/>
        <v>0</v>
      </c>
    </row>
    <row r="13" spans="1:32" x14ac:dyDescent="0.3">
      <c r="B13" s="2">
        <f t="shared" si="3"/>
        <v>2029</v>
      </c>
      <c r="C13" s="3">
        <f t="shared" si="4"/>
        <v>447.92800641130873</v>
      </c>
      <c r="D13" s="3">
        <f t="shared" si="0"/>
        <v>447.92800641130873</v>
      </c>
      <c r="E13" s="3">
        <f t="shared" si="5"/>
        <v>1.1639176550148242</v>
      </c>
      <c r="F13" s="3">
        <f t="shared" si="5"/>
        <v>700</v>
      </c>
      <c r="G13" s="3">
        <f>+'[9]Colector Gral Lagos I-V'!$AB$50</f>
        <v>458.28447938881891</v>
      </c>
      <c r="H13" s="95">
        <f t="shared" si="1"/>
        <v>-10.35647297751018</v>
      </c>
      <c r="L13" s="2">
        <f t="shared" si="6"/>
        <v>2029</v>
      </c>
      <c r="M13" s="3">
        <f t="shared" ref="M13:M21" si="14">+AC36</f>
        <v>213.60206060440629</v>
      </c>
      <c r="N13" s="4"/>
      <c r="O13" s="3"/>
      <c r="P13" s="3">
        <f>+P12</f>
        <v>447.92800641130873</v>
      </c>
      <c r="Q13" s="3">
        <f>+Q12</f>
        <v>1.1639176550148242</v>
      </c>
      <c r="R13" s="3">
        <f>+P13-M13</f>
        <v>234.32594580690244</v>
      </c>
      <c r="U13" s="82">
        <f t="shared" si="7"/>
        <v>2029</v>
      </c>
      <c r="V13" s="83">
        <f>+'[9]Colector Gral Lagos I-V'!$V$50</f>
        <v>17659.529893605941</v>
      </c>
      <c r="W13" s="84">
        <f>+'[9]Colector Gral Lagos I-V'!$U$50</f>
        <v>43.379452801126355</v>
      </c>
      <c r="X13" s="85">
        <f t="shared" si="13"/>
        <v>2.706833260007623</v>
      </c>
      <c r="Y13" s="86">
        <f t="shared" si="2"/>
        <v>117.42094564301966</v>
      </c>
      <c r="Z13" s="86">
        <f t="shared" si="8"/>
        <v>8.6758905602252714</v>
      </c>
      <c r="AA13" s="86">
        <f t="shared" si="9"/>
        <v>126.09683620324493</v>
      </c>
      <c r="AB13" s="84">
        <f>+'[9]Colector Gral Lagos I-V'!$AA$50</f>
        <v>332.18764318557396</v>
      </c>
      <c r="AC13" s="87">
        <f t="shared" si="10"/>
        <v>458.28447938881891</v>
      </c>
      <c r="AE13" s="46">
        <f t="shared" si="11"/>
        <v>458.28447938881891</v>
      </c>
      <c r="AF13" s="34">
        <f t="shared" si="12"/>
        <v>0</v>
      </c>
    </row>
    <row r="14" spans="1:32" x14ac:dyDescent="0.3">
      <c r="B14" s="2">
        <f t="shared" si="3"/>
        <v>2030</v>
      </c>
      <c r="C14" s="3">
        <f t="shared" si="4"/>
        <v>447.92800641130873</v>
      </c>
      <c r="D14" s="3">
        <f t="shared" si="0"/>
        <v>447.92800641130873</v>
      </c>
      <c r="E14" s="3">
        <f t="shared" si="5"/>
        <v>1.1639176550148242</v>
      </c>
      <c r="F14" s="3">
        <f t="shared" si="5"/>
        <v>700</v>
      </c>
      <c r="G14" s="3">
        <f>+'[10]Colector Gral Lagos I-V'!$AB$50</f>
        <v>466.64158589832914</v>
      </c>
      <c r="H14" s="95">
        <f t="shared" si="1"/>
        <v>-18.713579487020411</v>
      </c>
      <c r="L14" s="2">
        <f t="shared" si="6"/>
        <v>2030</v>
      </c>
      <c r="M14" s="3">
        <f t="shared" si="14"/>
        <v>217.43431799281009</v>
      </c>
      <c r="N14" s="4"/>
      <c r="O14" s="3"/>
      <c r="P14" s="3">
        <f t="shared" ref="P14:P21" si="15">+P13</f>
        <v>447.92800641130873</v>
      </c>
      <c r="Q14" s="3">
        <f t="shared" ref="Q14:Q21" si="16">+Q13</f>
        <v>1.1639176550148242</v>
      </c>
      <c r="R14" s="3">
        <f t="shared" ref="R14:R21" si="17">+P14-M14</f>
        <v>230.49368841849864</v>
      </c>
      <c r="U14" s="82">
        <f t="shared" si="7"/>
        <v>2030</v>
      </c>
      <c r="V14" s="83">
        <f>+'[10]Colector Gral Lagos I-V'!$V$50</f>
        <v>17769.21461869339</v>
      </c>
      <c r="W14" s="84">
        <f>+'[10]Colector Gral Lagos I-V'!$U$50</f>
        <v>44.13083663520645</v>
      </c>
      <c r="X14" s="85">
        <f t="shared" si="13"/>
        <v>2.704126071022062</v>
      </c>
      <c r="Y14" s="86">
        <f t="shared" si="2"/>
        <v>119.33534588127729</v>
      </c>
      <c r="Z14" s="86">
        <f t="shared" si="8"/>
        <v>8.8261673270412899</v>
      </c>
      <c r="AA14" s="86">
        <f t="shared" si="9"/>
        <v>128.16151320831858</v>
      </c>
      <c r="AB14" s="84">
        <f>+'[10]Colector Gral Lagos I-V'!$AA$50</f>
        <v>338.48007269001056</v>
      </c>
      <c r="AC14" s="87">
        <f t="shared" si="10"/>
        <v>466.64158589832914</v>
      </c>
      <c r="AE14" s="46">
        <f t="shared" si="11"/>
        <v>466.64158589832914</v>
      </c>
      <c r="AF14" s="34">
        <f t="shared" si="12"/>
        <v>0</v>
      </c>
    </row>
    <row r="15" spans="1:32" x14ac:dyDescent="0.3">
      <c r="B15" s="2">
        <f t="shared" si="3"/>
        <v>2031</v>
      </c>
      <c r="C15" s="3">
        <f t="shared" si="4"/>
        <v>447.92800641130873</v>
      </c>
      <c r="D15" s="3">
        <f t="shared" si="0"/>
        <v>447.92800641130873</v>
      </c>
      <c r="E15" s="3">
        <f t="shared" si="5"/>
        <v>1.1639176550148242</v>
      </c>
      <c r="F15" s="3">
        <f t="shared" si="5"/>
        <v>700</v>
      </c>
      <c r="G15" s="3">
        <f>+'[11]Colector Gral Lagos I-V'!$AB$50</f>
        <v>475.06361028399641</v>
      </c>
      <c r="H15" s="95">
        <f t="shared" si="1"/>
        <v>-27.135603872687682</v>
      </c>
      <c r="L15" s="2">
        <f t="shared" si="6"/>
        <v>2031</v>
      </c>
      <c r="M15" s="3">
        <f t="shared" si="14"/>
        <v>221.29661525743686</v>
      </c>
      <c r="N15" s="4"/>
      <c r="O15" s="3"/>
      <c r="P15" s="3">
        <f t="shared" si="15"/>
        <v>447.92800641130873</v>
      </c>
      <c r="Q15" s="3">
        <f t="shared" si="16"/>
        <v>1.1639176550148242</v>
      </c>
      <c r="R15" s="3">
        <f t="shared" si="17"/>
        <v>226.63139115387187</v>
      </c>
      <c r="S15" s="12">
        <f>+'[17]Colector Gral Lagos I-V (c_Pro)'!$F$114</f>
        <v>327.60000000000002</v>
      </c>
      <c r="U15" s="82">
        <f t="shared" si="7"/>
        <v>2031</v>
      </c>
      <c r="V15" s="83">
        <f>+'[11]Colector Gral Lagos I-V'!$V$50</f>
        <v>17879.484328981311</v>
      </c>
      <c r="W15" s="84">
        <f>+'[11]Colector Gral Lagos I-V'!$U$50</f>
        <v>44.889290674820408</v>
      </c>
      <c r="X15" s="85">
        <f t="shared" si="13"/>
        <v>2.7014214557055345</v>
      </c>
      <c r="Y15" s="86">
        <f t="shared" si="2"/>
        <v>121.26489296036222</v>
      </c>
      <c r="Z15" s="86">
        <f t="shared" si="8"/>
        <v>8.977858134964082</v>
      </c>
      <c r="AA15" s="86">
        <f t="shared" si="9"/>
        <v>130.2427510953263</v>
      </c>
      <c r="AB15" s="84">
        <f>+'[11]Colector Gral Lagos I-V'!$AA$50</f>
        <v>344.82085918867011</v>
      </c>
      <c r="AC15" s="87">
        <f t="shared" si="10"/>
        <v>475.06361028399641</v>
      </c>
      <c r="AE15" s="46">
        <f t="shared" si="11"/>
        <v>475.06361028399641</v>
      </c>
      <c r="AF15" s="34">
        <f t="shared" si="12"/>
        <v>0</v>
      </c>
    </row>
    <row r="16" spans="1:32" x14ac:dyDescent="0.3">
      <c r="B16" s="2">
        <f t="shared" si="3"/>
        <v>2032</v>
      </c>
      <c r="C16" s="3">
        <f t="shared" si="4"/>
        <v>447.92800641130873</v>
      </c>
      <c r="D16" s="3">
        <f t="shared" si="0"/>
        <v>447.92800641130873</v>
      </c>
      <c r="E16" s="3">
        <f t="shared" si="5"/>
        <v>1.1639176550148242</v>
      </c>
      <c r="F16" s="3">
        <f t="shared" si="5"/>
        <v>700</v>
      </c>
      <c r="G16" s="3">
        <f>+'[12]Colector Gral Lagos I-V'!$AB$50</f>
        <v>483.58371759659838</v>
      </c>
      <c r="H16" s="95">
        <f t="shared" si="1"/>
        <v>-35.655711185289647</v>
      </c>
      <c r="L16" s="2">
        <f t="shared" si="6"/>
        <v>2032</v>
      </c>
      <c r="M16" s="3">
        <f t="shared" si="14"/>
        <v>225.20412583222793</v>
      </c>
      <c r="N16" s="4"/>
      <c r="O16" s="3"/>
      <c r="P16" s="3">
        <f t="shared" si="15"/>
        <v>447.92800641130873</v>
      </c>
      <c r="Q16" s="3">
        <f t="shared" si="16"/>
        <v>1.1639176550148242</v>
      </c>
      <c r="R16" s="3">
        <f t="shared" si="17"/>
        <v>222.7238805790808</v>
      </c>
      <c r="U16" s="82">
        <f t="shared" si="7"/>
        <v>2032</v>
      </c>
      <c r="V16" s="83">
        <f>+'[12]Colector Gral Lagos I-V'!$V$50</f>
        <v>17990.339024469693</v>
      </c>
      <c r="W16" s="84">
        <f>+'[12]Colector Gral Lagos I-V'!$U$50</f>
        <v>45.657651781815993</v>
      </c>
      <c r="X16" s="85">
        <f t="shared" si="13"/>
        <v>2.6987194856416581</v>
      </c>
      <c r="Y16" s="86">
        <f t="shared" si="2"/>
        <v>123.21719453222839</v>
      </c>
      <c r="Z16" s="86">
        <f t="shared" si="8"/>
        <v>9.1315303563631982</v>
      </c>
      <c r="AA16" s="86">
        <f t="shared" si="9"/>
        <v>132.34872488859159</v>
      </c>
      <c r="AB16" s="84">
        <f>+'[12]Colector Gral Lagos I-V'!$AA$50</f>
        <v>351.23499270800681</v>
      </c>
      <c r="AC16" s="87">
        <f t="shared" si="10"/>
        <v>483.58371759659838</v>
      </c>
      <c r="AE16" s="46">
        <f t="shared" si="11"/>
        <v>483.58371759659838</v>
      </c>
      <c r="AF16" s="34">
        <f t="shared" si="12"/>
        <v>0</v>
      </c>
    </row>
    <row r="17" spans="2:32" x14ac:dyDescent="0.3">
      <c r="B17" s="2">
        <f t="shared" si="3"/>
        <v>2033</v>
      </c>
      <c r="C17" s="3">
        <f t="shared" si="4"/>
        <v>447.92800641130873</v>
      </c>
      <c r="D17" s="3">
        <f t="shared" si="0"/>
        <v>447.92800641130873</v>
      </c>
      <c r="E17" s="3">
        <f t="shared" si="5"/>
        <v>1.1639176550148242</v>
      </c>
      <c r="F17" s="3">
        <f t="shared" si="5"/>
        <v>700</v>
      </c>
      <c r="G17" s="3">
        <f>+'[13]Colector Gral Lagos I-V'!$AB$50</f>
        <v>492.11726271333453</v>
      </c>
      <c r="H17" s="95">
        <f t="shared" si="1"/>
        <v>-44.189256302025797</v>
      </c>
      <c r="L17" s="2">
        <f t="shared" si="6"/>
        <v>2033</v>
      </c>
      <c r="M17" s="3">
        <f t="shared" si="14"/>
        <v>229.11813205820769</v>
      </c>
      <c r="N17" s="4"/>
      <c r="O17" s="3"/>
      <c r="P17" s="3">
        <f t="shared" si="15"/>
        <v>447.92800641130873</v>
      </c>
      <c r="Q17" s="3">
        <f t="shared" si="16"/>
        <v>1.1639176550148242</v>
      </c>
      <c r="R17" s="3">
        <f t="shared" si="17"/>
        <v>218.80987435310104</v>
      </c>
      <c r="U17" s="82">
        <f t="shared" si="7"/>
        <v>2033</v>
      </c>
      <c r="V17" s="83">
        <f>+'[13]Colector Gral Lagos I-V'!$V$50</f>
        <v>18101.876202691958</v>
      </c>
      <c r="W17" s="84">
        <f>+'[13]Colector Gral Lagos I-V'!$U$50</f>
        <v>46.428781292446054</v>
      </c>
      <c r="X17" s="85">
        <f t="shared" si="13"/>
        <v>2.6960178768377299</v>
      </c>
      <c r="Y17" s="86">
        <f t="shared" si="2"/>
        <v>125.17282436422373</v>
      </c>
      <c r="Z17" s="86">
        <f t="shared" si="8"/>
        <v>9.2857562584892115</v>
      </c>
      <c r="AA17" s="86">
        <f t="shared" si="9"/>
        <v>134.45858062271293</v>
      </c>
      <c r="AB17" s="84">
        <f>+'[13]Colector Gral Lagos I-V'!$AA$50</f>
        <v>357.6586820906216</v>
      </c>
      <c r="AC17" s="87">
        <f t="shared" si="10"/>
        <v>492.11726271333453</v>
      </c>
      <c r="AE17" s="46">
        <f t="shared" si="11"/>
        <v>492.11726271333453</v>
      </c>
      <c r="AF17" s="34">
        <f t="shared" si="12"/>
        <v>0</v>
      </c>
    </row>
    <row r="18" spans="2:32" x14ac:dyDescent="0.3">
      <c r="B18" s="2">
        <f t="shared" si="3"/>
        <v>2034</v>
      </c>
      <c r="C18" s="3">
        <f t="shared" si="4"/>
        <v>447.92800641130873</v>
      </c>
      <c r="D18" s="3">
        <f t="shared" si="0"/>
        <v>447.92800641130873</v>
      </c>
      <c r="E18" s="3">
        <f t="shared" si="5"/>
        <v>1.1639176550148242</v>
      </c>
      <c r="F18" s="3">
        <f t="shared" si="5"/>
        <v>700</v>
      </c>
      <c r="G18" s="3">
        <f>+'[14]Colector Gral Lagos I-V'!$AB$50</f>
        <v>500.7334055193428</v>
      </c>
      <c r="H18" s="95">
        <f t="shared" si="1"/>
        <v>-52.805399108034067</v>
      </c>
      <c r="L18" s="2">
        <f t="shared" si="6"/>
        <v>2034</v>
      </c>
      <c r="M18" s="3">
        <f t="shared" si="14"/>
        <v>233.07024951328697</v>
      </c>
      <c r="N18" s="4"/>
      <c r="O18" s="3"/>
      <c r="P18" s="3">
        <f t="shared" si="15"/>
        <v>447.92800641130873</v>
      </c>
      <c r="Q18" s="3">
        <f t="shared" si="16"/>
        <v>1.1639176550148242</v>
      </c>
      <c r="R18" s="3">
        <f t="shared" si="17"/>
        <v>214.85775689802176</v>
      </c>
      <c r="U18" s="82">
        <f t="shared" si="7"/>
        <v>2034</v>
      </c>
      <c r="V18" s="83">
        <f>+'[14]Colector Gral Lagos I-V'!$V$50</f>
        <v>18213.803371047863</v>
      </c>
      <c r="W18" s="84">
        <f>+'[14]Colector Gral Lagos I-V'!$U$50</f>
        <v>47.2084556338746</v>
      </c>
      <c r="X18" s="85">
        <f t="shared" si="13"/>
        <v>2.6933237605400042</v>
      </c>
      <c r="Y18" s="86">
        <f t="shared" si="2"/>
        <v>127.14765525711309</v>
      </c>
      <c r="Z18" s="86">
        <f t="shared" si="8"/>
        <v>9.44169112677492</v>
      </c>
      <c r="AA18" s="86">
        <f t="shared" si="9"/>
        <v>136.589346383888</v>
      </c>
      <c r="AB18" s="84">
        <f>+'[14]Colector Gral Lagos I-V'!$AA$50</f>
        <v>364.14405913545477</v>
      </c>
      <c r="AC18" s="87">
        <f t="shared" si="10"/>
        <v>500.7334055193428</v>
      </c>
      <c r="AE18" s="46">
        <f t="shared" si="11"/>
        <v>500.7334055193428</v>
      </c>
      <c r="AF18" s="34">
        <f t="shared" si="12"/>
        <v>0</v>
      </c>
    </row>
    <row r="19" spans="2:32" x14ac:dyDescent="0.3">
      <c r="B19" s="2">
        <f t="shared" si="3"/>
        <v>2035</v>
      </c>
      <c r="C19" s="3">
        <f t="shared" si="4"/>
        <v>447.92800641130873</v>
      </c>
      <c r="D19" s="3">
        <f t="shared" si="0"/>
        <v>447.92800641130873</v>
      </c>
      <c r="E19" s="3">
        <f t="shared" si="5"/>
        <v>1.1639176550148242</v>
      </c>
      <c r="F19" s="3">
        <f t="shared" si="5"/>
        <v>700</v>
      </c>
      <c r="G19" s="3">
        <f>+'[15]Colector Gral Lagos I-V'!$AB$50</f>
        <v>509.41272820606559</v>
      </c>
      <c r="H19" s="95">
        <f t="shared" si="1"/>
        <v>-61.484721794756865</v>
      </c>
      <c r="L19" s="2">
        <f t="shared" si="6"/>
        <v>2035</v>
      </c>
      <c r="M19" s="3">
        <f t="shared" si="14"/>
        <v>237.05162789290492</v>
      </c>
      <c r="N19" s="4"/>
      <c r="O19" s="3"/>
      <c r="P19" s="3">
        <f t="shared" si="15"/>
        <v>447.92800641130873</v>
      </c>
      <c r="Q19" s="3">
        <f t="shared" si="16"/>
        <v>1.1639176550148242</v>
      </c>
      <c r="R19" s="3">
        <f t="shared" si="17"/>
        <v>210.87637851840381</v>
      </c>
      <c r="U19" s="82">
        <f t="shared" si="7"/>
        <v>2035</v>
      </c>
      <c r="V19" s="83">
        <f>+'[15]Colector Gral Lagos I-V'!$V$50</f>
        <v>18326.510519671057</v>
      </c>
      <c r="W19" s="84">
        <f>+'[15]Colector Gral Lagos I-V'!$U$50</f>
        <v>47.99520018083701</v>
      </c>
      <c r="X19" s="85">
        <f t="shared" si="13"/>
        <v>2.6906278168207503</v>
      </c>
      <c r="Y19" s="86">
        <f t="shared" si="2"/>
        <v>129.13722068044035</v>
      </c>
      <c r="Z19" s="86">
        <f t="shared" si="8"/>
        <v>9.599040036167402</v>
      </c>
      <c r="AA19" s="86">
        <f t="shared" si="9"/>
        <v>138.73626071660775</v>
      </c>
      <c r="AB19" s="84">
        <f>+'[15]Colector Gral Lagos I-V'!$AA$50</f>
        <v>370.67646748945782</v>
      </c>
      <c r="AC19" s="87">
        <f t="shared" si="10"/>
        <v>509.41272820606559</v>
      </c>
      <c r="AE19" s="46">
        <f t="shared" si="11"/>
        <v>509.41272820606559</v>
      </c>
      <c r="AF19" s="34">
        <f t="shared" si="12"/>
        <v>0</v>
      </c>
    </row>
    <row r="20" spans="2:32" x14ac:dyDescent="0.3">
      <c r="B20" s="2">
        <f t="shared" si="3"/>
        <v>2036</v>
      </c>
      <c r="C20" s="3">
        <f t="shared" si="4"/>
        <v>447.92800641130873</v>
      </c>
      <c r="D20" s="3">
        <f t="shared" si="0"/>
        <v>447.92800641130873</v>
      </c>
      <c r="E20" s="3">
        <f t="shared" si="5"/>
        <v>1.1639176550148242</v>
      </c>
      <c r="F20" s="3">
        <f t="shared" si="5"/>
        <v>700</v>
      </c>
      <c r="G20" s="3">
        <f>+'[16]Colector Gral Lagos I-V'!$AB$50</f>
        <v>518.19115002148192</v>
      </c>
      <c r="H20" s="95">
        <f t="shared" si="1"/>
        <v>-70.263143610173188</v>
      </c>
      <c r="L20" s="2">
        <f t="shared" si="6"/>
        <v>2036</v>
      </c>
      <c r="M20" s="3">
        <f t="shared" si="14"/>
        <v>241.0786783322971</v>
      </c>
      <c r="N20" s="4"/>
      <c r="O20" s="3"/>
      <c r="P20" s="3">
        <f t="shared" si="15"/>
        <v>447.92800641130873</v>
      </c>
      <c r="Q20" s="3">
        <f t="shared" si="16"/>
        <v>1.1639176550148242</v>
      </c>
      <c r="R20" s="3">
        <f t="shared" si="17"/>
        <v>206.84932807901163</v>
      </c>
      <c r="U20" s="82">
        <f t="shared" si="7"/>
        <v>2036</v>
      </c>
      <c r="V20" s="83">
        <f>+'[16]Colector Gral Lagos I-V'!$V$50</f>
        <v>18439.70515596131</v>
      </c>
      <c r="W20" s="84">
        <f>+'[16]Colector Gral Lagos I-V'!$U$50</f>
        <v>48.791977948828936</v>
      </c>
      <c r="X20" s="85">
        <f t="shared" si="13"/>
        <v>2.6879371300642214</v>
      </c>
      <c r="Y20" s="86">
        <f t="shared" si="2"/>
        <v>131.14976917793203</v>
      </c>
      <c r="Z20" s="86">
        <f t="shared" si="8"/>
        <v>9.7583955897657884</v>
      </c>
      <c r="AA20" s="86">
        <f t="shared" si="9"/>
        <v>140.90816476769783</v>
      </c>
      <c r="AB20" s="84">
        <f>+'[16]Colector Gral Lagos I-V'!$AA$50</f>
        <v>377.28298525378415</v>
      </c>
      <c r="AC20" s="87">
        <f t="shared" si="10"/>
        <v>518.19115002148192</v>
      </c>
      <c r="AE20" s="46">
        <f t="shared" si="11"/>
        <v>518.19115002148192</v>
      </c>
      <c r="AF20" s="34">
        <f t="shared" si="12"/>
        <v>0</v>
      </c>
    </row>
    <row r="21" spans="2:32" ht="13.8" thickBot="1" x14ac:dyDescent="0.35">
      <c r="B21" s="2">
        <f t="shared" si="3"/>
        <v>2037</v>
      </c>
      <c r="C21" s="3">
        <f t="shared" si="4"/>
        <v>447.92800641130873</v>
      </c>
      <c r="D21" s="3">
        <f t="shared" si="0"/>
        <v>447.92800641130873</v>
      </c>
      <c r="E21" s="3">
        <f t="shared" si="5"/>
        <v>1.1639176550148242</v>
      </c>
      <c r="F21" s="3">
        <f t="shared" si="5"/>
        <v>700</v>
      </c>
      <c r="G21" s="3">
        <f>+'[17]Colector Gral Lagos I-V'!$AB$50</f>
        <v>526.97992659762122</v>
      </c>
      <c r="H21" s="95">
        <f t="shared" si="1"/>
        <v>-79.051920186312486</v>
      </c>
      <c r="I21" s="13">
        <f>+G21/G6-1</f>
        <v>0.32156728987991379</v>
      </c>
      <c r="L21" s="2">
        <f t="shared" si="6"/>
        <v>2037</v>
      </c>
      <c r="M21" s="3">
        <f t="shared" si="14"/>
        <v>245.11080708088434</v>
      </c>
      <c r="N21" s="4"/>
      <c r="O21" s="3"/>
      <c r="P21" s="3">
        <f t="shared" si="15"/>
        <v>447.92800641130873</v>
      </c>
      <c r="Q21" s="3">
        <f t="shared" si="16"/>
        <v>1.1639176550148242</v>
      </c>
      <c r="R21" s="3">
        <f t="shared" si="17"/>
        <v>202.81719933042439</v>
      </c>
      <c r="U21" s="88">
        <f t="shared" si="7"/>
        <v>2037</v>
      </c>
      <c r="V21" s="89">
        <f>+'[17]Colector Gral Lagos I-V'!$V$50</f>
        <v>18553.582274985438</v>
      </c>
      <c r="W21" s="90">
        <f>+'[17]Colector Gral Lagos I-V'!$U$50</f>
        <v>49.59131055401182</v>
      </c>
      <c r="X21" s="91">
        <f t="shared" si="13"/>
        <v>2.6852471296208726</v>
      </c>
      <c r="Y21" s="92">
        <f t="shared" si="2"/>
        <v>133.16492431929751</v>
      </c>
      <c r="Z21" s="92">
        <f t="shared" si="8"/>
        <v>9.918262110802365</v>
      </c>
      <c r="AA21" s="92">
        <f t="shared" si="9"/>
        <v>143.08318643009989</v>
      </c>
      <c r="AB21" s="90">
        <f>+'[17]Colector Gral Lagos I-V'!$AA$50</f>
        <v>383.89674016752133</v>
      </c>
      <c r="AC21" s="93">
        <f t="shared" si="10"/>
        <v>526.97992659762122</v>
      </c>
      <c r="AE21" s="46">
        <f t="shared" si="11"/>
        <v>526.97992659762122</v>
      </c>
      <c r="AF21" s="34">
        <f t="shared" si="12"/>
        <v>0</v>
      </c>
    </row>
    <row r="22" spans="2:32" x14ac:dyDescent="0.3">
      <c r="L22" s="9"/>
    </row>
    <row r="23" spans="2:32" ht="13.8" x14ac:dyDescent="0.3">
      <c r="L23" s="94" t="s">
        <v>214</v>
      </c>
    </row>
    <row r="24" spans="2:32" ht="13.8" thickBot="1" x14ac:dyDescent="0.35"/>
    <row r="25" spans="2:32" x14ac:dyDescent="0.3">
      <c r="U25" s="47"/>
      <c r="V25" s="48" t="s">
        <v>98</v>
      </c>
      <c r="W25" s="49"/>
      <c r="X25" s="49"/>
      <c r="Y25" s="49"/>
      <c r="Z25" s="49"/>
      <c r="AA25" s="49"/>
      <c r="AB25" s="49"/>
      <c r="AC25" s="50"/>
    </row>
    <row r="26" spans="2:32" x14ac:dyDescent="0.3">
      <c r="U26" s="51"/>
      <c r="V26" s="42" t="s">
        <v>209</v>
      </c>
      <c r="Y26" s="12" t="s">
        <v>213</v>
      </c>
      <c r="AC26" s="52"/>
    </row>
    <row r="27" spans="2:32" x14ac:dyDescent="0.3">
      <c r="U27" s="51"/>
      <c r="Z27" s="53">
        <v>0.2</v>
      </c>
      <c r="AC27" s="52"/>
    </row>
    <row r="28" spans="2:32" x14ac:dyDescent="0.3">
      <c r="U28" s="54" t="s">
        <v>0</v>
      </c>
      <c r="V28" s="45" t="s">
        <v>90</v>
      </c>
      <c r="W28" s="45" t="s">
        <v>99</v>
      </c>
      <c r="X28" s="45" t="s">
        <v>91</v>
      </c>
      <c r="Y28" s="45" t="s">
        <v>92</v>
      </c>
      <c r="Z28" s="45" t="s">
        <v>93</v>
      </c>
      <c r="AA28" s="45" t="s">
        <v>100</v>
      </c>
      <c r="AB28" s="45" t="s">
        <v>94</v>
      </c>
      <c r="AC28" s="55" t="s">
        <v>101</v>
      </c>
    </row>
    <row r="29" spans="2:32" x14ac:dyDescent="0.3">
      <c r="T29" s="9">
        <v>0</v>
      </c>
      <c r="U29" s="56">
        <f>+U6</f>
        <v>2022</v>
      </c>
      <c r="V29" s="80"/>
      <c r="W29" s="81"/>
      <c r="X29" s="44"/>
      <c r="Y29" s="34"/>
      <c r="Z29" s="34"/>
      <c r="AA29" s="34"/>
      <c r="AB29" s="81"/>
      <c r="AC29" s="57"/>
    </row>
    <row r="30" spans="2:32" x14ac:dyDescent="0.3">
      <c r="T30" s="9">
        <f>+T29+1</f>
        <v>1</v>
      </c>
      <c r="U30" s="56">
        <f t="shared" ref="U30:W44" si="18">+U7</f>
        <v>2023</v>
      </c>
      <c r="V30" s="80"/>
      <c r="W30" s="81"/>
      <c r="X30" s="44"/>
      <c r="Y30" s="34"/>
      <c r="Z30" s="34"/>
      <c r="AA30" s="34"/>
      <c r="AB30" s="81"/>
      <c r="AC30" s="57"/>
    </row>
    <row r="31" spans="2:32" x14ac:dyDescent="0.3">
      <c r="T31" s="9">
        <f t="shared" ref="T31:T44" si="19">+T30+1</f>
        <v>2</v>
      </c>
      <c r="U31" s="56">
        <f t="shared" si="18"/>
        <v>2024</v>
      </c>
      <c r="V31" s="80"/>
      <c r="W31" s="81"/>
      <c r="X31" s="44"/>
      <c r="Y31" s="34"/>
      <c r="Z31" s="34"/>
      <c r="AA31" s="34"/>
      <c r="AB31" s="81"/>
      <c r="AC31" s="57"/>
    </row>
    <row r="32" spans="2:32" x14ac:dyDescent="0.3">
      <c r="T32" s="9">
        <f t="shared" si="19"/>
        <v>3</v>
      </c>
      <c r="U32" s="56">
        <f t="shared" si="18"/>
        <v>2025</v>
      </c>
      <c r="V32" s="80"/>
      <c r="W32" s="81"/>
      <c r="X32" s="44"/>
      <c r="Y32" s="34"/>
      <c r="Z32" s="34"/>
      <c r="AA32" s="34"/>
      <c r="AB32" s="81"/>
      <c r="AC32" s="57"/>
    </row>
    <row r="33" spans="20:29" x14ac:dyDescent="0.3">
      <c r="T33" s="9">
        <f t="shared" si="19"/>
        <v>4</v>
      </c>
      <c r="U33" s="56">
        <f t="shared" si="18"/>
        <v>2026</v>
      </c>
      <c r="V33" s="80"/>
      <c r="W33" s="81"/>
      <c r="X33" s="44"/>
      <c r="Y33" s="34"/>
      <c r="Z33" s="34"/>
      <c r="AA33" s="34"/>
      <c r="AB33" s="81"/>
      <c r="AC33" s="57"/>
    </row>
    <row r="34" spans="20:29" x14ac:dyDescent="0.3">
      <c r="T34" s="9">
        <f t="shared" si="19"/>
        <v>5</v>
      </c>
      <c r="U34" s="56">
        <f t="shared" si="18"/>
        <v>2027</v>
      </c>
      <c r="V34" s="80"/>
      <c r="W34" s="81"/>
      <c r="X34" s="44"/>
      <c r="Y34" s="34"/>
      <c r="Z34" s="34"/>
      <c r="AA34" s="34"/>
      <c r="AB34" s="81"/>
      <c r="AC34" s="57"/>
    </row>
    <row r="35" spans="20:29" x14ac:dyDescent="0.3">
      <c r="T35" s="9">
        <f t="shared" si="19"/>
        <v>6</v>
      </c>
      <c r="U35" s="56">
        <f t="shared" si="18"/>
        <v>2028</v>
      </c>
      <c r="V35" s="80">
        <f t="shared" si="18"/>
        <v>17550.430153718953</v>
      </c>
      <c r="W35" s="81">
        <f t="shared" si="18"/>
        <v>42.636526385049123</v>
      </c>
      <c r="X35" s="44">
        <f t="shared" ref="X35:X44" si="20">1+(14/(4+(SQRT(V35/1000))))</f>
        <v>2.7095429496424734</v>
      </c>
      <c r="Y35" s="34">
        <f t="shared" ref="Y35:Y44" si="21">+X35*W35</f>
        <v>115.52549946385514</v>
      </c>
      <c r="Z35" s="34">
        <f t="shared" ref="Z35:Z44" si="22">+W35*$Z$27</f>
        <v>8.527305277009825</v>
      </c>
      <c r="AA35" s="34">
        <f t="shared" ref="AA35:AA44" si="23">+Z35+Y35</f>
        <v>124.05280474086497</v>
      </c>
      <c r="AB35" s="81">
        <f>+'[8]Colector Gral Lagos I-V'!$AA$85</f>
        <v>85.754626630694062</v>
      </c>
      <c r="AC35" s="57">
        <f t="shared" ref="AC35:AC44" si="24">+AB35+AA35</f>
        <v>209.80743137155903</v>
      </c>
    </row>
    <row r="36" spans="20:29" x14ac:dyDescent="0.3">
      <c r="T36" s="9">
        <f t="shared" si="19"/>
        <v>7</v>
      </c>
      <c r="U36" s="56">
        <f t="shared" si="18"/>
        <v>2029</v>
      </c>
      <c r="V36" s="80">
        <f t="shared" si="18"/>
        <v>17659.529893605941</v>
      </c>
      <c r="W36" s="81">
        <f t="shared" si="18"/>
        <v>43.379452801126355</v>
      </c>
      <c r="X36" s="44">
        <f t="shared" si="20"/>
        <v>2.706833260007623</v>
      </c>
      <c r="Y36" s="34">
        <f t="shared" si="21"/>
        <v>117.42094564301966</v>
      </c>
      <c r="Z36" s="34">
        <f t="shared" si="22"/>
        <v>8.6758905602252714</v>
      </c>
      <c r="AA36" s="34">
        <f t="shared" si="23"/>
        <v>126.09683620324493</v>
      </c>
      <c r="AB36" s="81">
        <f>+'[9]Colector Gral Lagos I-V'!$AA$85</f>
        <v>87.505224401161371</v>
      </c>
      <c r="AC36" s="57">
        <f t="shared" si="24"/>
        <v>213.60206060440629</v>
      </c>
    </row>
    <row r="37" spans="20:29" x14ac:dyDescent="0.3">
      <c r="T37" s="9">
        <f t="shared" si="19"/>
        <v>8</v>
      </c>
      <c r="U37" s="56">
        <f t="shared" si="18"/>
        <v>2030</v>
      </c>
      <c r="V37" s="80">
        <f t="shared" si="18"/>
        <v>17769.21461869339</v>
      </c>
      <c r="W37" s="81">
        <f t="shared" si="18"/>
        <v>44.13083663520645</v>
      </c>
      <c r="X37" s="44">
        <f t="shared" si="20"/>
        <v>2.704126071022062</v>
      </c>
      <c r="Y37" s="34">
        <f t="shared" si="21"/>
        <v>119.33534588127729</v>
      </c>
      <c r="Z37" s="34">
        <f t="shared" si="22"/>
        <v>8.8261673270412899</v>
      </c>
      <c r="AA37" s="34">
        <f t="shared" si="23"/>
        <v>128.16151320831858</v>
      </c>
      <c r="AB37" s="81">
        <f>+'[10]Colector Gral Lagos I-V'!$AA$85</f>
        <v>89.272804784491512</v>
      </c>
      <c r="AC37" s="57">
        <f t="shared" si="24"/>
        <v>217.43431799281009</v>
      </c>
    </row>
    <row r="38" spans="20:29" x14ac:dyDescent="0.3">
      <c r="T38" s="9">
        <f t="shared" si="19"/>
        <v>9</v>
      </c>
      <c r="U38" s="56">
        <f t="shared" si="18"/>
        <v>2031</v>
      </c>
      <c r="V38" s="80">
        <f t="shared" si="18"/>
        <v>17879.484328981311</v>
      </c>
      <c r="W38" s="81">
        <f t="shared" si="18"/>
        <v>44.889290674820408</v>
      </c>
      <c r="X38" s="44">
        <f t="shared" si="20"/>
        <v>2.7014214557055345</v>
      </c>
      <c r="Y38" s="34">
        <f t="shared" si="21"/>
        <v>121.26489296036222</v>
      </c>
      <c r="Z38" s="34">
        <f t="shared" si="22"/>
        <v>8.977858134964082</v>
      </c>
      <c r="AA38" s="34">
        <f t="shared" si="23"/>
        <v>130.2427510953263</v>
      </c>
      <c r="AB38" s="81">
        <f>+'[11]Colector Gral Lagos I-V'!$AA$85</f>
        <v>91.053864162110557</v>
      </c>
      <c r="AC38" s="57">
        <f t="shared" si="24"/>
        <v>221.29661525743686</v>
      </c>
    </row>
    <row r="39" spans="20:29" x14ac:dyDescent="0.3">
      <c r="T39" s="9">
        <f t="shared" si="19"/>
        <v>10</v>
      </c>
      <c r="U39" s="56">
        <f t="shared" si="18"/>
        <v>2032</v>
      </c>
      <c r="V39" s="80">
        <f t="shared" si="18"/>
        <v>17990.339024469693</v>
      </c>
      <c r="W39" s="81">
        <f t="shared" si="18"/>
        <v>45.657651781815993</v>
      </c>
      <c r="X39" s="44">
        <f t="shared" si="20"/>
        <v>2.6987194856416581</v>
      </c>
      <c r="Y39" s="34">
        <f t="shared" si="21"/>
        <v>123.21719453222839</v>
      </c>
      <c r="Z39" s="34">
        <f t="shared" si="22"/>
        <v>9.1315303563631982</v>
      </c>
      <c r="AA39" s="34">
        <f t="shared" si="23"/>
        <v>132.34872488859159</v>
      </c>
      <c r="AB39" s="81">
        <f>+'[12]Colector Gral Lagos I-V'!$AA$85</f>
        <v>92.855400943636354</v>
      </c>
      <c r="AC39" s="57">
        <f t="shared" si="24"/>
        <v>225.20412583222793</v>
      </c>
    </row>
    <row r="40" spans="20:29" x14ac:dyDescent="0.3">
      <c r="T40" s="9">
        <f t="shared" si="19"/>
        <v>11</v>
      </c>
      <c r="U40" s="56">
        <f t="shared" si="18"/>
        <v>2033</v>
      </c>
      <c r="V40" s="80">
        <f t="shared" si="18"/>
        <v>18101.876202691958</v>
      </c>
      <c r="W40" s="81">
        <f t="shared" si="18"/>
        <v>46.428781292446054</v>
      </c>
      <c r="X40" s="44">
        <f t="shared" si="20"/>
        <v>2.6960178768377299</v>
      </c>
      <c r="Y40" s="34">
        <f t="shared" si="21"/>
        <v>125.17282436422373</v>
      </c>
      <c r="Z40" s="34">
        <f t="shared" si="22"/>
        <v>9.2857562584892115</v>
      </c>
      <c r="AA40" s="34">
        <f t="shared" si="23"/>
        <v>134.45858062271293</v>
      </c>
      <c r="AB40" s="81">
        <f>+'[13]Colector Gral Lagos I-V'!$AA$85</f>
        <v>94.659551435494762</v>
      </c>
      <c r="AC40" s="57">
        <f t="shared" si="24"/>
        <v>229.11813205820769</v>
      </c>
    </row>
    <row r="41" spans="20:29" x14ac:dyDescent="0.3">
      <c r="T41" s="9">
        <f t="shared" si="19"/>
        <v>12</v>
      </c>
      <c r="U41" s="56">
        <f t="shared" si="18"/>
        <v>2034</v>
      </c>
      <c r="V41" s="80">
        <f t="shared" si="18"/>
        <v>18213.803371047863</v>
      </c>
      <c r="W41" s="81">
        <f t="shared" si="18"/>
        <v>47.2084556338746</v>
      </c>
      <c r="X41" s="44">
        <f t="shared" si="20"/>
        <v>2.6933237605400042</v>
      </c>
      <c r="Y41" s="34">
        <f t="shared" si="21"/>
        <v>127.14765525711309</v>
      </c>
      <c r="Z41" s="34">
        <f t="shared" si="22"/>
        <v>9.44169112677492</v>
      </c>
      <c r="AA41" s="34">
        <f t="shared" si="23"/>
        <v>136.589346383888</v>
      </c>
      <c r="AB41" s="81">
        <f>+'[14]Colector Gral Lagos I-V'!$AA$85</f>
        <v>96.480903129398968</v>
      </c>
      <c r="AC41" s="57">
        <f t="shared" si="24"/>
        <v>233.07024951328697</v>
      </c>
    </row>
    <row r="42" spans="20:29" x14ac:dyDescent="0.3">
      <c r="T42" s="9">
        <f t="shared" si="19"/>
        <v>13</v>
      </c>
      <c r="U42" s="56">
        <f t="shared" si="18"/>
        <v>2035</v>
      </c>
      <c r="V42" s="80">
        <f t="shared" si="18"/>
        <v>18326.510519671057</v>
      </c>
      <c r="W42" s="81">
        <f t="shared" si="18"/>
        <v>47.99520018083701</v>
      </c>
      <c r="X42" s="44">
        <f t="shared" si="20"/>
        <v>2.6906278168207503</v>
      </c>
      <c r="Y42" s="34">
        <f t="shared" si="21"/>
        <v>129.13722068044035</v>
      </c>
      <c r="Z42" s="34">
        <f t="shared" si="22"/>
        <v>9.599040036167402</v>
      </c>
      <c r="AA42" s="34">
        <f t="shared" si="23"/>
        <v>138.73626071660775</v>
      </c>
      <c r="AB42" s="81">
        <f>+'[15]Colector Gral Lagos I-V'!$AA$85</f>
        <v>98.315367176297173</v>
      </c>
      <c r="AC42" s="57">
        <f t="shared" si="24"/>
        <v>237.05162789290492</v>
      </c>
    </row>
    <row r="43" spans="20:29" x14ac:dyDescent="0.3">
      <c r="T43" s="9">
        <f t="shared" si="19"/>
        <v>14</v>
      </c>
      <c r="U43" s="56">
        <f t="shared" si="18"/>
        <v>2036</v>
      </c>
      <c r="V43" s="80">
        <f t="shared" si="18"/>
        <v>18439.70515596131</v>
      </c>
      <c r="W43" s="81">
        <f t="shared" si="18"/>
        <v>48.791977948828936</v>
      </c>
      <c r="X43" s="44">
        <f t="shared" si="20"/>
        <v>2.6879371300642214</v>
      </c>
      <c r="Y43" s="34">
        <f t="shared" si="21"/>
        <v>131.14976917793203</v>
      </c>
      <c r="Z43" s="34">
        <f t="shared" si="22"/>
        <v>9.7583955897657884</v>
      </c>
      <c r="AA43" s="34">
        <f t="shared" si="23"/>
        <v>140.90816476769783</v>
      </c>
      <c r="AB43" s="81">
        <f>+'[16]Colector Gral Lagos I-V'!$AA$85</f>
        <v>100.17051356459926</v>
      </c>
      <c r="AC43" s="57">
        <f t="shared" si="24"/>
        <v>241.0786783322971</v>
      </c>
    </row>
    <row r="44" spans="20:29" ht="13.8" thickBot="1" x14ac:dyDescent="0.35">
      <c r="T44" s="9">
        <f t="shared" si="19"/>
        <v>15</v>
      </c>
      <c r="U44" s="58">
        <f t="shared" si="18"/>
        <v>2037</v>
      </c>
      <c r="V44" s="78">
        <f t="shared" si="18"/>
        <v>18553.582274985438</v>
      </c>
      <c r="W44" s="79">
        <f t="shared" si="18"/>
        <v>49.59131055401182</v>
      </c>
      <c r="X44" s="61">
        <f t="shared" si="20"/>
        <v>2.6852471296208726</v>
      </c>
      <c r="Y44" s="60">
        <f t="shared" si="21"/>
        <v>133.16492431929751</v>
      </c>
      <c r="Z44" s="60">
        <f t="shared" si="22"/>
        <v>9.918262110802365</v>
      </c>
      <c r="AA44" s="60">
        <f t="shared" si="23"/>
        <v>143.08318643009989</v>
      </c>
      <c r="AB44" s="79">
        <f>+'[17]Colector Gral Lagos I-V'!$AA$85</f>
        <v>102.02762065078446</v>
      </c>
      <c r="AC44" s="62">
        <f t="shared" si="24"/>
        <v>245.11080708088434</v>
      </c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4.4" thickBot="1" x14ac:dyDescent="0.35">
      <c r="L1"/>
      <c r="M1"/>
      <c r="N1"/>
      <c r="O1"/>
      <c r="P1"/>
      <c r="Q1"/>
      <c r="R1"/>
      <c r="S1"/>
    </row>
    <row r="2" spans="1:22" x14ac:dyDescent="0.3">
      <c r="B2" s="5" t="s">
        <v>60</v>
      </c>
      <c r="E2" s="6" t="s">
        <v>7</v>
      </c>
      <c r="F2" s="7">
        <f>+'[17]Colector Gral Lagos I-V'!$N$40</f>
        <v>253.5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211</v>
      </c>
      <c r="O3" s="12" t="s">
        <v>210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ht="13.8" x14ac:dyDescent="0.3">
      <c r="A6" s="12" t="s">
        <v>6</v>
      </c>
      <c r="B6" s="2">
        <f>+'Colec Gral Lagos III'!B6</f>
        <v>2022</v>
      </c>
      <c r="C6" s="3">
        <f>+SUMPRODUCT('[17]Colector Gral Lagos I-V'!$AL$38:$AL$40,'[17]Colector Gral Lagos I-V'!$M$38:$M$40)/F2</f>
        <v>367.09864495847569</v>
      </c>
      <c r="D6" s="3">
        <f t="shared" ref="D6:D21" si="0">+C6</f>
        <v>367.09864495847569</v>
      </c>
      <c r="E6" s="3">
        <f>D6/(0.25*PI()*(F6/1000)^2)/1000</f>
        <v>1.298345865499513</v>
      </c>
      <c r="F6" s="3">
        <f>+SUMPRODUCT('[17]Colector Gral Lagos I-V'!$F$38:$F$40,'[17]Colector Gral Lagos I-V'!$M$38:$M$40)/F2</f>
        <v>600</v>
      </c>
      <c r="G6" s="3">
        <f>+'[2]Colector Gral Lagos I-V'!$AB$40</f>
        <v>268.24824340936868</v>
      </c>
      <c r="H6" s="3">
        <f t="shared" ref="H6:H21" si="1">+D6-G6</f>
        <v>98.850401549107005</v>
      </c>
      <c r="K6" s="56">
        <f>+B6</f>
        <v>2022</v>
      </c>
      <c r="L6" s="74">
        <f>+'[2]Colector Gral Lagos I-V'!$V$40</f>
        <v>11112.890492448836</v>
      </c>
      <c r="M6" s="75">
        <f>+'[2]Colector Gral Lagos I-V'!$U$40</f>
        <v>25.372561478251232</v>
      </c>
      <c r="N6" s="44">
        <f>1+(14/(4+(SQRT(L6/1000))))</f>
        <v>2.9090214302952804</v>
      </c>
      <c r="O6" s="34">
        <f t="shared" ref="O6:O21" si="2">+N6*M6</f>
        <v>73.809325081717333</v>
      </c>
      <c r="P6" s="34">
        <f>+M6*$P$4</f>
        <v>5.0745122956502469</v>
      </c>
      <c r="Q6" s="34">
        <f>+P6+O6</f>
        <v>78.883837377367584</v>
      </c>
      <c r="R6" s="75">
        <f>+'[2]Colector Gral Lagos I-V'!$AA$40</f>
        <v>189.36440603200111</v>
      </c>
      <c r="S6" s="57">
        <f>+R6+Q6</f>
        <v>268.24824340936868</v>
      </c>
      <c r="U6" s="46">
        <f>+G6</f>
        <v>268.24824340936868</v>
      </c>
      <c r="V6" s="34">
        <f>+U6-S6</f>
        <v>0</v>
      </c>
    </row>
    <row r="7" spans="1:22" ht="13.8" x14ac:dyDescent="0.3">
      <c r="B7" s="2">
        <f t="shared" ref="B7:B21" si="3">+B6+1</f>
        <v>2023</v>
      </c>
      <c r="C7" s="3">
        <f t="shared" ref="C7:C21" si="4">+C6</f>
        <v>367.09864495847569</v>
      </c>
      <c r="D7" s="3">
        <f t="shared" si="0"/>
        <v>367.09864495847569</v>
      </c>
      <c r="E7" s="3">
        <f t="shared" ref="E7:F21" si="5">+E6</f>
        <v>1.298345865499513</v>
      </c>
      <c r="F7" s="3">
        <f t="shared" si="5"/>
        <v>600</v>
      </c>
      <c r="G7" s="3">
        <f>+'[3]Colector Gral Lagos I-V'!$AB$40</f>
        <v>275.60435355997561</v>
      </c>
      <c r="H7" s="3">
        <f t="shared" si="1"/>
        <v>91.494291398500081</v>
      </c>
      <c r="K7" s="56">
        <f t="shared" ref="K7:K21" si="6">+B7</f>
        <v>2023</v>
      </c>
      <c r="L7" s="74">
        <f>+'[3]Colector Gral Lagos I-V'!$V$40</f>
        <v>11198.968279694331</v>
      </c>
      <c r="M7" s="75">
        <f>+'[3]Colector Gral Lagos I-V'!$U$40</f>
        <v>26.144350786647724</v>
      </c>
      <c r="N7" s="44">
        <f>1+(14/(4+(SQRT(L7/1000))))</f>
        <v>2.9056730083538991</v>
      </c>
      <c r="O7" s="34">
        <f t="shared" si="2"/>
        <v>75.966934401698325</v>
      </c>
      <c r="P7" s="34">
        <f t="shared" ref="P7:P21" si="7">+M7*$P$4</f>
        <v>5.2288701573295455</v>
      </c>
      <c r="Q7" s="34">
        <f t="shared" ref="Q7:Q21" si="8">+P7+O7</f>
        <v>81.195804559027863</v>
      </c>
      <c r="R7" s="75">
        <f>+'[3]Colector Gral Lagos I-V'!$AA$40</f>
        <v>194.40854900094777</v>
      </c>
      <c r="S7" s="57">
        <f t="shared" ref="S7:S21" si="9">+R7+Q7</f>
        <v>275.60435355997561</v>
      </c>
      <c r="U7" s="46">
        <f t="shared" ref="U7:U21" si="10">+G7</f>
        <v>275.60435355997561</v>
      </c>
      <c r="V7" s="34">
        <f t="shared" ref="V7:V21" si="11">+U7-S7</f>
        <v>0</v>
      </c>
    </row>
    <row r="8" spans="1:22" ht="13.8" x14ac:dyDescent="0.3">
      <c r="B8" s="2">
        <f t="shared" si="3"/>
        <v>2024</v>
      </c>
      <c r="C8" s="3">
        <f t="shared" si="4"/>
        <v>367.09864495847569</v>
      </c>
      <c r="D8" s="3">
        <f t="shared" si="0"/>
        <v>367.09864495847569</v>
      </c>
      <c r="E8" s="3">
        <f t="shared" si="5"/>
        <v>1.298345865499513</v>
      </c>
      <c r="F8" s="3">
        <f t="shared" si="5"/>
        <v>600</v>
      </c>
      <c r="G8" s="3">
        <f>+'[4]Colector Gral Lagos I-V'!$AB$40</f>
        <v>281.09436158102005</v>
      </c>
      <c r="H8" s="3">
        <f t="shared" si="1"/>
        <v>86.004283377455636</v>
      </c>
      <c r="K8" s="56">
        <f t="shared" si="6"/>
        <v>2024</v>
      </c>
      <c r="L8" s="74">
        <f>+'[4]Colector Gral Lagos I-V'!$V$40</f>
        <v>11285.441281757294</v>
      </c>
      <c r="M8" s="75">
        <f>+'[4]Colector Gral Lagos I-V'!$U$40</f>
        <v>26.727896825907774</v>
      </c>
      <c r="N8" s="44">
        <f t="shared" ref="N8:N21" si="12">1+(14/(4+(SQRT(L8/1000))))</f>
        <v>2.9023338832678531</v>
      </c>
      <c r="O8" s="34">
        <f t="shared" si="2"/>
        <v>77.573280586319441</v>
      </c>
      <c r="P8" s="34">
        <f t="shared" si="7"/>
        <v>5.3455793651815551</v>
      </c>
      <c r="Q8" s="34">
        <f t="shared" si="8"/>
        <v>82.918859951500991</v>
      </c>
      <c r="R8" s="75">
        <f>+'[4]Colector Gral Lagos I-V'!$AA$40</f>
        <v>198.17550162951906</v>
      </c>
      <c r="S8" s="57">
        <f t="shared" si="9"/>
        <v>281.09436158102005</v>
      </c>
      <c r="U8" s="46">
        <f t="shared" si="10"/>
        <v>281.09436158102005</v>
      </c>
      <c r="V8" s="34">
        <f t="shared" si="11"/>
        <v>0</v>
      </c>
    </row>
    <row r="9" spans="1:22" ht="13.8" x14ac:dyDescent="0.3">
      <c r="B9" s="2">
        <f t="shared" si="3"/>
        <v>2025</v>
      </c>
      <c r="C9" s="3">
        <f t="shared" si="4"/>
        <v>367.09864495847569</v>
      </c>
      <c r="D9" s="3">
        <f t="shared" si="0"/>
        <v>367.09864495847569</v>
      </c>
      <c r="E9" s="3">
        <f t="shared" si="5"/>
        <v>1.298345865499513</v>
      </c>
      <c r="F9" s="3">
        <f t="shared" si="5"/>
        <v>600</v>
      </c>
      <c r="G9" s="3">
        <f>+'[5]Colector Gral Lagos I-V'!$AB$40</f>
        <v>286.60030454793667</v>
      </c>
      <c r="H9" s="3">
        <f t="shared" si="1"/>
        <v>80.498340410539015</v>
      </c>
      <c r="K9" s="56">
        <f t="shared" si="6"/>
        <v>2025</v>
      </c>
      <c r="L9" s="74">
        <f>+'[5]Colector Gral Lagos I-V'!$V$40</f>
        <v>11372.230455674238</v>
      </c>
      <c r="M9" s="75">
        <f>+'[5]Colector Gral Lagos I-V'!$U$40</f>
        <v>27.314063623934672</v>
      </c>
      <c r="N9" s="44">
        <f t="shared" si="12"/>
        <v>2.8990070655833988</v>
      </c>
      <c r="O9" s="34">
        <f t="shared" si="2"/>
        <v>79.18366343558111</v>
      </c>
      <c r="P9" s="34">
        <f t="shared" si="7"/>
        <v>5.4628127247869349</v>
      </c>
      <c r="Q9" s="34">
        <f t="shared" si="8"/>
        <v>84.646476160368039</v>
      </c>
      <c r="R9" s="75">
        <f>+'[5]Colector Gral Lagos I-V'!$AA$40</f>
        <v>201.95382838756865</v>
      </c>
      <c r="S9" s="57">
        <f t="shared" si="9"/>
        <v>286.60030454793667</v>
      </c>
      <c r="U9" s="46">
        <f t="shared" si="10"/>
        <v>286.60030454793667</v>
      </c>
      <c r="V9" s="34">
        <f t="shared" si="11"/>
        <v>0</v>
      </c>
    </row>
    <row r="10" spans="1:22" ht="13.8" x14ac:dyDescent="0.3">
      <c r="B10" s="2">
        <f t="shared" si="3"/>
        <v>2026</v>
      </c>
      <c r="C10" s="3">
        <f t="shared" si="4"/>
        <v>367.09864495847569</v>
      </c>
      <c r="D10" s="3">
        <f t="shared" si="0"/>
        <v>367.09864495847569</v>
      </c>
      <c r="E10" s="3">
        <f t="shared" si="5"/>
        <v>1.298345865499513</v>
      </c>
      <c r="F10" s="3">
        <f t="shared" si="5"/>
        <v>600</v>
      </c>
      <c r="G10" s="3">
        <f>+'[6]Colector Gral Lagos I-V'!$AB$40</f>
        <v>292.16335898179051</v>
      </c>
      <c r="H10" s="3">
        <f t="shared" si="1"/>
        <v>74.935285976685179</v>
      </c>
      <c r="K10" s="56">
        <f t="shared" si="6"/>
        <v>2026</v>
      </c>
      <c r="L10" s="74">
        <f>+'[6]Colector Gral Lagos I-V'!$V$40</f>
        <v>11459.493887372148</v>
      </c>
      <c r="M10" s="75">
        <f>+'[6]Colector Gral Lagos I-V'!$U$40</f>
        <v>27.907094923236446</v>
      </c>
      <c r="N10" s="44">
        <f t="shared" si="12"/>
        <v>2.8956864868194776</v>
      </c>
      <c r="O10" s="34">
        <f t="shared" si="2"/>
        <v>80.810197655604227</v>
      </c>
      <c r="P10" s="34">
        <f t="shared" si="7"/>
        <v>5.5814189846472892</v>
      </c>
      <c r="Q10" s="34">
        <f t="shared" si="8"/>
        <v>86.391616640251513</v>
      </c>
      <c r="R10" s="75">
        <f>+'[6]Colector Gral Lagos I-V'!$AA$40</f>
        <v>205.77174234153898</v>
      </c>
      <c r="S10" s="57">
        <f t="shared" si="9"/>
        <v>292.16335898179051</v>
      </c>
      <c r="U10" s="46">
        <f t="shared" si="10"/>
        <v>292.16335898179051</v>
      </c>
      <c r="V10" s="34">
        <f t="shared" si="11"/>
        <v>0</v>
      </c>
    </row>
    <row r="11" spans="1:22" ht="13.8" x14ac:dyDescent="0.3">
      <c r="B11" s="2">
        <f t="shared" si="3"/>
        <v>2027</v>
      </c>
      <c r="C11" s="3">
        <f t="shared" si="4"/>
        <v>367.09864495847569</v>
      </c>
      <c r="D11" s="3">
        <f t="shared" si="0"/>
        <v>367.09864495847569</v>
      </c>
      <c r="E11" s="3">
        <f t="shared" si="5"/>
        <v>1.298345865499513</v>
      </c>
      <c r="F11" s="3">
        <f t="shared" si="5"/>
        <v>600</v>
      </c>
      <c r="G11" s="3">
        <f>+'[7]Colector Gral Lagos I-V'!$AB$40</f>
        <v>297.77314591413926</v>
      </c>
      <c r="H11" s="3">
        <f t="shared" si="1"/>
        <v>69.325499044336425</v>
      </c>
      <c r="K11" s="56">
        <f t="shared" si="6"/>
        <v>2027</v>
      </c>
      <c r="L11" s="74">
        <f>+'[7]Colector Gral Lagos I-V'!$V$40</f>
        <v>11547.152533887531</v>
      </c>
      <c r="M11" s="75">
        <f>+'[7]Colector Gral Lagos I-V'!$U$40</f>
        <v>28.505924717724213</v>
      </c>
      <c r="N11" s="44">
        <f t="shared" si="12"/>
        <v>2.8923751785516618</v>
      </c>
      <c r="O11" s="34">
        <f t="shared" si="2"/>
        <v>82.449829095207804</v>
      </c>
      <c r="P11" s="34">
        <f t="shared" si="7"/>
        <v>5.7011849435448427</v>
      </c>
      <c r="Q11" s="34">
        <f t="shared" si="8"/>
        <v>88.151014038752649</v>
      </c>
      <c r="R11" s="75">
        <f>+'[7]Colector Gral Lagos I-V'!$AA$40</f>
        <v>209.62213187538663</v>
      </c>
      <c r="S11" s="57">
        <f t="shared" si="9"/>
        <v>297.77314591413926</v>
      </c>
      <c r="U11" s="46">
        <f t="shared" si="10"/>
        <v>297.77314591413926</v>
      </c>
      <c r="V11" s="34">
        <f t="shared" si="11"/>
        <v>0</v>
      </c>
    </row>
    <row r="12" spans="1:22" ht="13.8" x14ac:dyDescent="0.3">
      <c r="B12" s="2">
        <f t="shared" si="3"/>
        <v>2028</v>
      </c>
      <c r="C12" s="3">
        <f t="shared" si="4"/>
        <v>367.09864495847569</v>
      </c>
      <c r="D12" s="3">
        <f t="shared" si="0"/>
        <v>367.09864495847569</v>
      </c>
      <c r="E12" s="3">
        <f t="shared" si="5"/>
        <v>1.298345865499513</v>
      </c>
      <c r="F12" s="3">
        <f t="shared" si="5"/>
        <v>600</v>
      </c>
      <c r="G12" s="3">
        <f>+'[8]Colector Gral Lagos I-V'!$AB$40</f>
        <v>303.45109353431292</v>
      </c>
      <c r="H12" s="3">
        <f t="shared" si="1"/>
        <v>63.647551424162771</v>
      </c>
      <c r="K12" s="56">
        <f t="shared" si="6"/>
        <v>2028</v>
      </c>
      <c r="L12" s="74">
        <f>+'[8]Colector Gral Lagos I-V'!$V$40</f>
        <v>11635.285438183881</v>
      </c>
      <c r="M12" s="75">
        <f>+'[8]Colector Gral Lagos I-V'!$U$40</f>
        <v>29.11277614339771</v>
      </c>
      <c r="N12" s="44">
        <f t="shared" si="12"/>
        <v>2.8890701774036609</v>
      </c>
      <c r="O12" s="34">
        <f t="shared" si="2"/>
        <v>84.10885333731909</v>
      </c>
      <c r="P12" s="34">
        <f t="shared" si="7"/>
        <v>5.8225552286795423</v>
      </c>
      <c r="Q12" s="34">
        <f t="shared" si="8"/>
        <v>89.931408565998638</v>
      </c>
      <c r="R12" s="75">
        <f>+'[8]Colector Gral Lagos I-V'!$AA$40</f>
        <v>213.51968496831429</v>
      </c>
      <c r="S12" s="57">
        <f t="shared" si="9"/>
        <v>303.45109353431292</v>
      </c>
      <c r="U12" s="46">
        <f t="shared" si="10"/>
        <v>303.45109353431292</v>
      </c>
      <c r="V12" s="34">
        <f t="shared" si="11"/>
        <v>0</v>
      </c>
    </row>
    <row r="13" spans="1:22" ht="13.8" x14ac:dyDescent="0.3">
      <c r="B13" s="2">
        <f t="shared" si="3"/>
        <v>2029</v>
      </c>
      <c r="C13" s="3">
        <f t="shared" si="4"/>
        <v>367.09864495847569</v>
      </c>
      <c r="D13" s="3">
        <f t="shared" si="0"/>
        <v>367.09864495847569</v>
      </c>
      <c r="E13" s="3">
        <f t="shared" si="5"/>
        <v>1.298345865499513</v>
      </c>
      <c r="F13" s="3">
        <f t="shared" si="5"/>
        <v>600</v>
      </c>
      <c r="G13" s="3">
        <f>+'[9]Colector Gral Lagos I-V'!$AB$40</f>
        <v>309.1428877878426</v>
      </c>
      <c r="H13" s="3">
        <f t="shared" si="1"/>
        <v>57.955757170633092</v>
      </c>
      <c r="K13" s="56">
        <f t="shared" si="6"/>
        <v>2029</v>
      </c>
      <c r="L13" s="74">
        <f>+'[9]Colector Gral Lagos I-V'!$V$40</f>
        <v>11723.734514334206</v>
      </c>
      <c r="M13" s="75">
        <f>+'[9]Colector Gral Lagos I-V'!$U$40</f>
        <v>29.722073175363555</v>
      </c>
      <c r="N13" s="44">
        <f t="shared" si="12"/>
        <v>2.8857774008866208</v>
      </c>
      <c r="O13" s="34">
        <f t="shared" si="2"/>
        <v>85.771287076962594</v>
      </c>
      <c r="P13" s="34">
        <f t="shared" si="7"/>
        <v>5.944414635072711</v>
      </c>
      <c r="Q13" s="34">
        <f t="shared" si="8"/>
        <v>91.715701712035298</v>
      </c>
      <c r="R13" s="75">
        <f>+'[9]Colector Gral Lagos I-V'!$AA$40</f>
        <v>217.4271860758073</v>
      </c>
      <c r="S13" s="57">
        <f t="shared" si="9"/>
        <v>309.1428877878426</v>
      </c>
      <c r="U13" s="46">
        <f t="shared" si="10"/>
        <v>309.1428877878426</v>
      </c>
      <c r="V13" s="34">
        <f t="shared" si="11"/>
        <v>0</v>
      </c>
    </row>
    <row r="14" spans="1:22" ht="13.8" x14ac:dyDescent="0.3">
      <c r="B14" s="2">
        <f t="shared" si="3"/>
        <v>2030</v>
      </c>
      <c r="C14" s="3">
        <f t="shared" si="4"/>
        <v>367.09864495847569</v>
      </c>
      <c r="D14" s="3">
        <f t="shared" si="0"/>
        <v>367.09864495847569</v>
      </c>
      <c r="E14" s="3">
        <f t="shared" si="5"/>
        <v>1.298345865499513</v>
      </c>
      <c r="F14" s="3">
        <f t="shared" si="5"/>
        <v>600</v>
      </c>
      <c r="G14" s="3">
        <f>+'[10]Colector Gral Lagos I-V'!$AB$40</f>
        <v>314.89194974056517</v>
      </c>
      <c r="H14" s="3">
        <f t="shared" si="1"/>
        <v>52.206695217910521</v>
      </c>
      <c r="K14" s="56">
        <f t="shared" si="6"/>
        <v>2030</v>
      </c>
      <c r="L14" s="74">
        <f>+'[10]Colector Gral Lagos I-V'!$V$40</f>
        <v>11812.657848265502</v>
      </c>
      <c r="M14" s="75">
        <f>+'[10]Colector Gral Lagos I-V'!$U$40</f>
        <v>30.338306398553353</v>
      </c>
      <c r="N14" s="44">
        <f t="shared" si="12"/>
        <v>2.8824909522049436</v>
      </c>
      <c r="O14" s="34">
        <f t="shared" si="2"/>
        <v>87.449893699051387</v>
      </c>
      <c r="P14" s="34">
        <f t="shared" si="7"/>
        <v>6.0676612797106708</v>
      </c>
      <c r="Q14" s="34">
        <f t="shared" si="8"/>
        <v>93.517554978762064</v>
      </c>
      <c r="R14" s="75">
        <f>+'[10]Colector Gral Lagos I-V'!$AA$40</f>
        <v>221.3743947618031</v>
      </c>
      <c r="S14" s="57">
        <f t="shared" si="9"/>
        <v>314.89194974056517</v>
      </c>
      <c r="U14" s="46">
        <f t="shared" si="10"/>
        <v>314.89194974056517</v>
      </c>
      <c r="V14" s="34">
        <f t="shared" si="11"/>
        <v>0</v>
      </c>
    </row>
    <row r="15" spans="1:22" ht="13.8" x14ac:dyDescent="0.3">
      <c r="B15" s="2">
        <f t="shared" si="3"/>
        <v>2031</v>
      </c>
      <c r="C15" s="3">
        <f t="shared" si="4"/>
        <v>367.09864495847569</v>
      </c>
      <c r="D15" s="3">
        <f t="shared" si="0"/>
        <v>367.09864495847569</v>
      </c>
      <c r="E15" s="3">
        <f t="shared" si="5"/>
        <v>1.298345865499513</v>
      </c>
      <c r="F15" s="3">
        <f t="shared" si="5"/>
        <v>600</v>
      </c>
      <c r="G15" s="3">
        <f>+'[11]Colector Gral Lagos I-V'!$AB$40</f>
        <v>320.68699329908952</v>
      </c>
      <c r="H15" s="3">
        <f t="shared" si="1"/>
        <v>46.411651659386166</v>
      </c>
      <c r="K15" s="56">
        <f t="shared" si="6"/>
        <v>2031</v>
      </c>
      <c r="L15" s="74">
        <f>+'[11]Colector Gral Lagos I-V'!$V$40</f>
        <v>11902.055439977763</v>
      </c>
      <c r="M15" s="75">
        <f>+'[11]Colector Gral Lagos I-V'!$U$40</f>
        <v>30.96033811692914</v>
      </c>
      <c r="N15" s="44">
        <f t="shared" si="12"/>
        <v>2.8792108827902494</v>
      </c>
      <c r="O15" s="34">
        <f t="shared" si="2"/>
        <v>89.14134244112816</v>
      </c>
      <c r="P15" s="34">
        <f t="shared" si="7"/>
        <v>6.1920676233858281</v>
      </c>
      <c r="Q15" s="34">
        <f t="shared" si="8"/>
        <v>95.333410064513984</v>
      </c>
      <c r="R15" s="75">
        <f>+'[11]Colector Gral Lagos I-V'!$AA$40</f>
        <v>225.35358323457555</v>
      </c>
      <c r="S15" s="57">
        <f t="shared" si="9"/>
        <v>320.68699329908952</v>
      </c>
      <c r="U15" s="46">
        <f t="shared" si="10"/>
        <v>320.68699329908952</v>
      </c>
      <c r="V15" s="34">
        <f t="shared" si="11"/>
        <v>0</v>
      </c>
    </row>
    <row r="16" spans="1:22" ht="13.8" x14ac:dyDescent="0.3">
      <c r="B16" s="2">
        <f t="shared" si="3"/>
        <v>2032</v>
      </c>
      <c r="C16" s="3">
        <f t="shared" si="4"/>
        <v>367.09864495847569</v>
      </c>
      <c r="D16" s="3">
        <f t="shared" si="0"/>
        <v>367.09864495847569</v>
      </c>
      <c r="E16" s="3">
        <f t="shared" si="5"/>
        <v>1.298345865499513</v>
      </c>
      <c r="F16" s="3">
        <f t="shared" si="5"/>
        <v>600</v>
      </c>
      <c r="G16" s="3">
        <f>+'[12]Colector Gral Lagos I-V'!$AB$40</f>
        <v>326.55061963731703</v>
      </c>
      <c r="H16" s="3">
        <f t="shared" si="1"/>
        <v>40.548025321158661</v>
      </c>
      <c r="K16" s="56">
        <f t="shared" si="6"/>
        <v>2032</v>
      </c>
      <c r="L16" s="74">
        <f>+'[12]Colector Gral Lagos I-V'!$V$40</f>
        <v>11991.92728947099</v>
      </c>
      <c r="M16" s="75">
        <f>+'[12]Colector Gral Lagos I-V'!$U$40</f>
        <v>31.590494929016078</v>
      </c>
      <c r="N16" s="44">
        <f t="shared" si="12"/>
        <v>2.8759372424388068</v>
      </c>
      <c r="O16" s="34">
        <f t="shared" si="2"/>
        <v>90.85228087343161</v>
      </c>
      <c r="P16" s="34">
        <f t="shared" si="7"/>
        <v>6.3180989858032159</v>
      </c>
      <c r="Q16" s="34">
        <f t="shared" si="8"/>
        <v>97.170379859234828</v>
      </c>
      <c r="R16" s="75">
        <f>+'[12]Colector Gral Lagos I-V'!$AA$40</f>
        <v>229.3802397780822</v>
      </c>
      <c r="S16" s="57">
        <f t="shared" si="9"/>
        <v>326.55061963731703</v>
      </c>
      <c r="U16" s="46">
        <f t="shared" si="10"/>
        <v>326.55061963731703</v>
      </c>
      <c r="V16" s="34">
        <f t="shared" si="11"/>
        <v>0</v>
      </c>
    </row>
    <row r="17" spans="2:22" ht="13.8" x14ac:dyDescent="0.3">
      <c r="B17" s="2">
        <f t="shared" si="3"/>
        <v>2033</v>
      </c>
      <c r="C17" s="3">
        <f t="shared" si="4"/>
        <v>367.09864495847569</v>
      </c>
      <c r="D17" s="3">
        <f t="shared" si="0"/>
        <v>367.09864495847569</v>
      </c>
      <c r="E17" s="3">
        <f t="shared" si="5"/>
        <v>1.298345865499513</v>
      </c>
      <c r="F17" s="3">
        <f t="shared" si="5"/>
        <v>600</v>
      </c>
      <c r="G17" s="3">
        <f>+'[13]Colector Gral Lagos I-V'!$AB$40</f>
        <v>332.4252253189714</v>
      </c>
      <c r="H17" s="3">
        <f t="shared" si="1"/>
        <v>34.673419639504289</v>
      </c>
      <c r="K17" s="56">
        <f t="shared" si="6"/>
        <v>2033</v>
      </c>
      <c r="L17" s="74">
        <f>+'[13]Colector Gral Lagos I-V'!$V$40</f>
        <v>12082.35243970868</v>
      </c>
      <c r="M17" s="75">
        <f>+'[13]Colector Gral Lagos I-V'!$U$40</f>
        <v>32.222922194920869</v>
      </c>
      <c r="N17" s="44">
        <f t="shared" si="12"/>
        <v>2.8726672312652566</v>
      </c>
      <c r="O17" s="34">
        <f t="shared" si="2"/>
        <v>92.565732684959116</v>
      </c>
      <c r="P17" s="34">
        <f t="shared" si="7"/>
        <v>6.4445844389841742</v>
      </c>
      <c r="Q17" s="34">
        <f t="shared" si="8"/>
        <v>99.010317123943295</v>
      </c>
      <c r="R17" s="75">
        <f>+'[13]Colector Gral Lagos I-V'!$AA$40</f>
        <v>233.41490819502812</v>
      </c>
      <c r="S17" s="57">
        <f t="shared" si="9"/>
        <v>332.4252253189714</v>
      </c>
      <c r="U17" s="46">
        <f t="shared" si="10"/>
        <v>332.4252253189714</v>
      </c>
      <c r="V17" s="34">
        <f t="shared" si="11"/>
        <v>0</v>
      </c>
    </row>
    <row r="18" spans="2:22" ht="13.8" x14ac:dyDescent="0.3">
      <c r="B18" s="2">
        <f t="shared" si="3"/>
        <v>2034</v>
      </c>
      <c r="C18" s="3">
        <f t="shared" si="4"/>
        <v>367.09864495847569</v>
      </c>
      <c r="D18" s="3">
        <f t="shared" si="0"/>
        <v>367.09864495847569</v>
      </c>
      <c r="E18" s="3">
        <f t="shared" si="5"/>
        <v>1.298345865499513</v>
      </c>
      <c r="F18" s="3">
        <f t="shared" si="5"/>
        <v>600</v>
      </c>
      <c r="G18" s="3">
        <f>+'[14]Colector Gral Lagos I-V'!$AB$40</f>
        <v>338.35777166707334</v>
      </c>
      <c r="H18" s="3">
        <f t="shared" si="1"/>
        <v>28.740873291402352</v>
      </c>
      <c r="K18" s="56">
        <f t="shared" si="6"/>
        <v>2034</v>
      </c>
      <c r="L18" s="74">
        <f>+'[14]Colector Gral Lagos I-V'!$V$40</f>
        <v>12173.093761800348</v>
      </c>
      <c r="M18" s="75">
        <f>+'[14]Colector Gral Lagos I-V'!$U$40</f>
        <v>32.862357341998681</v>
      </c>
      <c r="N18" s="44">
        <f t="shared" si="12"/>
        <v>2.8694094401295791</v>
      </c>
      <c r="O18" s="34">
        <f t="shared" si="2"/>
        <v>94.2955583820426</v>
      </c>
      <c r="P18" s="34">
        <f t="shared" si="7"/>
        <v>6.5724714683997369</v>
      </c>
      <c r="Q18" s="34">
        <f t="shared" si="8"/>
        <v>100.86802985044234</v>
      </c>
      <c r="R18" s="75">
        <f>+'[14]Colector Gral Lagos I-V'!$AA$40</f>
        <v>237.48974181663101</v>
      </c>
      <c r="S18" s="57">
        <f t="shared" si="9"/>
        <v>338.35777166707334</v>
      </c>
      <c r="U18" s="46">
        <f t="shared" si="10"/>
        <v>338.35777166707334</v>
      </c>
      <c r="V18" s="34">
        <f t="shared" si="11"/>
        <v>0</v>
      </c>
    </row>
    <row r="19" spans="2:22" ht="13.8" x14ac:dyDescent="0.3">
      <c r="B19" s="2">
        <f t="shared" si="3"/>
        <v>2035</v>
      </c>
      <c r="C19" s="3">
        <f t="shared" si="4"/>
        <v>367.09864495847569</v>
      </c>
      <c r="D19" s="3">
        <f t="shared" si="0"/>
        <v>367.09864495847569</v>
      </c>
      <c r="E19" s="3">
        <f t="shared" si="5"/>
        <v>1.298345865499513</v>
      </c>
      <c r="F19" s="3">
        <f t="shared" si="5"/>
        <v>600</v>
      </c>
      <c r="G19" s="3">
        <f>+'[15]Colector Gral Lagos I-V'!$AB$40</f>
        <v>344.33524884607135</v>
      </c>
      <c r="H19" s="3">
        <f t="shared" si="1"/>
        <v>22.763396112404337</v>
      </c>
      <c r="K19" s="56">
        <f t="shared" si="6"/>
        <v>2035</v>
      </c>
      <c r="L19" s="74">
        <f>+'[15]Colector Gral Lagos I-V'!$V$40</f>
        <v>12264.467427599971</v>
      </c>
      <c r="M19" s="75">
        <f>+'[15]Colector Gral Lagos I-V'!$U$40</f>
        <v>33.507590984262485</v>
      </c>
      <c r="N19" s="44">
        <f t="shared" si="12"/>
        <v>2.8661525626588382</v>
      </c>
      <c r="O19" s="34">
        <f t="shared" si="2"/>
        <v>96.037867768068111</v>
      </c>
      <c r="P19" s="34">
        <f t="shared" si="7"/>
        <v>6.7015181968524971</v>
      </c>
      <c r="Q19" s="34">
        <f t="shared" si="8"/>
        <v>102.73938596492061</v>
      </c>
      <c r="R19" s="75">
        <f>+'[15]Colector Gral Lagos I-V'!$AA$40</f>
        <v>241.59586288115074</v>
      </c>
      <c r="S19" s="57">
        <f t="shared" si="9"/>
        <v>344.33524884607135</v>
      </c>
      <c r="U19" s="46">
        <f t="shared" si="10"/>
        <v>344.33524884607135</v>
      </c>
      <c r="V19" s="34">
        <f t="shared" si="11"/>
        <v>0</v>
      </c>
    </row>
    <row r="20" spans="2:22" ht="13.8" x14ac:dyDescent="0.3">
      <c r="B20" s="2">
        <f t="shared" si="3"/>
        <v>2036</v>
      </c>
      <c r="C20" s="3">
        <f t="shared" si="4"/>
        <v>367.09864495847569</v>
      </c>
      <c r="D20" s="3">
        <f t="shared" si="0"/>
        <v>367.09864495847569</v>
      </c>
      <c r="E20" s="3">
        <f t="shared" si="5"/>
        <v>1.298345865499513</v>
      </c>
      <c r="F20" s="3">
        <f t="shared" si="5"/>
        <v>600</v>
      </c>
      <c r="G20" s="3">
        <f>+'[16]Colector Gral Lagos I-V'!$AB$40</f>
        <v>350.38199042712779</v>
      </c>
      <c r="H20" s="3">
        <f t="shared" si="1"/>
        <v>16.716654531347899</v>
      </c>
      <c r="K20" s="56">
        <f t="shared" si="6"/>
        <v>2036</v>
      </c>
      <c r="L20" s="74">
        <f>+'[16]Colector Gral Lagos I-V'!$V$40</f>
        <v>12356.236308217069</v>
      </c>
      <c r="M20" s="75">
        <f>+'[16]Colector Gral Lagos I-V'!$U$40</f>
        <v>34.161053182762885</v>
      </c>
      <c r="N20" s="44">
        <f t="shared" si="12"/>
        <v>2.8629051251179911</v>
      </c>
      <c r="O20" s="34">
        <f t="shared" si="2"/>
        <v>97.799854236360119</v>
      </c>
      <c r="P20" s="34">
        <f t="shared" si="7"/>
        <v>6.8322106365525777</v>
      </c>
      <c r="Q20" s="34">
        <f t="shared" si="8"/>
        <v>104.63206487291269</v>
      </c>
      <c r="R20" s="75">
        <f>+'[16]Colector Gral Lagos I-V'!$AA$40</f>
        <v>245.74992555421508</v>
      </c>
      <c r="S20" s="57">
        <f t="shared" si="9"/>
        <v>350.38199042712779</v>
      </c>
      <c r="U20" s="46">
        <f t="shared" si="10"/>
        <v>350.38199042712779</v>
      </c>
      <c r="V20" s="34">
        <f t="shared" si="11"/>
        <v>0</v>
      </c>
    </row>
    <row r="21" spans="2:22" ht="14.4" thickBot="1" x14ac:dyDescent="0.35">
      <c r="B21" s="2">
        <f t="shared" si="3"/>
        <v>2037</v>
      </c>
      <c r="C21" s="3">
        <f t="shared" si="4"/>
        <v>367.09864495847569</v>
      </c>
      <c r="D21" s="3">
        <f t="shared" si="0"/>
        <v>367.09864495847569</v>
      </c>
      <c r="E21" s="3">
        <f t="shared" si="5"/>
        <v>1.298345865499513</v>
      </c>
      <c r="F21" s="3">
        <f t="shared" si="5"/>
        <v>600</v>
      </c>
      <c r="G21" s="3">
        <f>+'[17]Colector Gral Lagos I-V'!$AB$40</f>
        <v>356.43760993067406</v>
      </c>
      <c r="H21" s="3">
        <f t="shared" si="1"/>
        <v>10.661035027801631</v>
      </c>
      <c r="I21" s="13">
        <f>+G21/G6-1</f>
        <v>0.32876027593113144</v>
      </c>
      <c r="K21" s="58">
        <f t="shared" si="6"/>
        <v>2037</v>
      </c>
      <c r="L21" s="76">
        <f>+'[17]Colector Gral Lagos I-V'!$V$40</f>
        <v>12448.558489578625</v>
      </c>
      <c r="M21" s="77">
        <f>+'[17]Colector Gral Lagos I-V'!$U$40</f>
        <v>34.816610682606616</v>
      </c>
      <c r="N21" s="61">
        <f t="shared" si="12"/>
        <v>2.8596615750088983</v>
      </c>
      <c r="O21" s="60">
        <f t="shared" si="2"/>
        <v>99.563723741094464</v>
      </c>
      <c r="P21" s="60">
        <f t="shared" si="7"/>
        <v>6.9633221365213238</v>
      </c>
      <c r="Q21" s="60">
        <f t="shared" si="8"/>
        <v>106.52704587761579</v>
      </c>
      <c r="R21" s="77">
        <f>+'[17]Colector Gral Lagos I-V'!$AA$40</f>
        <v>249.91056405305829</v>
      </c>
      <c r="S21" s="62">
        <f t="shared" si="9"/>
        <v>356.43760993067406</v>
      </c>
      <c r="U21" s="46">
        <f t="shared" si="10"/>
        <v>356.43760993067406</v>
      </c>
      <c r="V21" s="34">
        <f t="shared" si="11"/>
        <v>0</v>
      </c>
    </row>
    <row r="22" spans="2:22" ht="13.8" x14ac:dyDescent="0.3">
      <c r="K22" s="43"/>
      <c r="L22"/>
      <c r="M22"/>
      <c r="N22"/>
      <c r="O22"/>
      <c r="P22"/>
      <c r="Q22"/>
      <c r="R22"/>
      <c r="S22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AF23"/>
  <sheetViews>
    <sheetView showGridLines="0" topLeftCell="L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2" ht="13.8" thickBot="1" x14ac:dyDescent="0.35"/>
    <row r="2" spans="1:32" x14ac:dyDescent="0.3">
      <c r="B2" s="5" t="s">
        <v>61</v>
      </c>
      <c r="E2" s="6" t="s">
        <v>7</v>
      </c>
      <c r="F2" s="7">
        <f>+'[17]Colector Gral Lagos I-V'!$N$35</f>
        <v>314.47000000000003</v>
      </c>
      <c r="G2" s="8" t="s">
        <v>8</v>
      </c>
      <c r="L2" s="5" t="s">
        <v>62</v>
      </c>
      <c r="O2" s="6"/>
      <c r="P2" s="7"/>
      <c r="Q2" s="8"/>
      <c r="U2" s="47"/>
      <c r="V2" s="48" t="s">
        <v>98</v>
      </c>
      <c r="W2" s="49"/>
      <c r="X2" s="49"/>
      <c r="Y2" s="49"/>
      <c r="Z2" s="49"/>
      <c r="AA2" s="49"/>
      <c r="AB2" s="49"/>
      <c r="AC2" s="50"/>
    </row>
    <row r="3" spans="1:32" x14ac:dyDescent="0.3">
      <c r="U3" s="51"/>
      <c r="V3" s="42" t="s">
        <v>207</v>
      </c>
      <c r="Y3" s="12" t="s">
        <v>208</v>
      </c>
      <c r="AC3" s="52"/>
    </row>
    <row r="4" spans="1:3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96" t="s">
        <v>0</v>
      </c>
      <c r="M4" s="96" t="s">
        <v>13</v>
      </c>
      <c r="N4" s="97" t="s">
        <v>14</v>
      </c>
      <c r="O4" s="98"/>
      <c r="P4" s="98"/>
      <c r="Q4" s="99"/>
      <c r="R4" s="100" t="s">
        <v>19</v>
      </c>
      <c r="U4" s="51"/>
      <c r="Z4" s="53">
        <v>0.2</v>
      </c>
      <c r="AB4" s="43" t="s">
        <v>94</v>
      </c>
      <c r="AC4" s="52"/>
    </row>
    <row r="5" spans="1:3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6"/>
      <c r="M5" s="96"/>
      <c r="N5" s="18" t="s">
        <v>17</v>
      </c>
      <c r="O5" s="18" t="s">
        <v>16</v>
      </c>
      <c r="P5" s="18" t="s">
        <v>15</v>
      </c>
      <c r="Q5" s="18" t="s">
        <v>18</v>
      </c>
      <c r="R5" s="101"/>
      <c r="U5" s="54" t="s">
        <v>0</v>
      </c>
      <c r="V5" s="45" t="s">
        <v>90</v>
      </c>
      <c r="W5" s="45" t="s">
        <v>99</v>
      </c>
      <c r="X5" s="45" t="s">
        <v>91</v>
      </c>
      <c r="Y5" s="45" t="s">
        <v>92</v>
      </c>
      <c r="Z5" s="45" t="s">
        <v>93</v>
      </c>
      <c r="AA5" s="45" t="s">
        <v>100</v>
      </c>
      <c r="AB5" s="45"/>
      <c r="AC5" s="55" t="s">
        <v>101</v>
      </c>
      <c r="AD5" s="45"/>
      <c r="AE5" s="45" t="s">
        <v>92</v>
      </c>
      <c r="AF5" s="45" t="s">
        <v>97</v>
      </c>
    </row>
    <row r="6" spans="1:32" x14ac:dyDescent="0.3">
      <c r="A6" s="12" t="s">
        <v>6</v>
      </c>
      <c r="B6" s="2">
        <f>+'Colec Gral Lagos II'!B6</f>
        <v>2022</v>
      </c>
      <c r="C6" s="3">
        <f>+SUMPRODUCT('[17]Colector Gral Lagos I-V'!$AL$31:$AL$35,'[17]Colector Gral Lagos I-V'!$M$31:$M$35)/F2</f>
        <v>253.29232767506878</v>
      </c>
      <c r="D6" s="3">
        <f t="shared" ref="D6:D21" si="0">+C6</f>
        <v>253.29232767506878</v>
      </c>
      <c r="E6" s="3">
        <f>D6/(0.25*PI()*(F6/1000)^2)/1000</f>
        <v>0.89583835548309498</v>
      </c>
      <c r="F6" s="3">
        <f>+SUMPRODUCT('[17]Colector Gral Lagos I-V'!$F$31:$F$35,'[17]Colector Gral Lagos I-V'!$M$31:$M$35)/F2</f>
        <v>600</v>
      </c>
      <c r="G6" s="3">
        <f>+'[2]Colector Gral Lagos I-V'!$AB$35</f>
        <v>211.94667314021248</v>
      </c>
      <c r="H6" s="3">
        <f t="shared" ref="H6:H21" si="1">+D6-G6</f>
        <v>41.345654534856294</v>
      </c>
      <c r="L6" s="2">
        <f>+B6</f>
        <v>2022</v>
      </c>
      <c r="M6" s="1"/>
      <c r="N6" s="14"/>
      <c r="O6" s="14"/>
      <c r="P6" s="14"/>
      <c r="Q6" s="14"/>
      <c r="R6" s="1"/>
      <c r="U6" s="56">
        <f>+L6</f>
        <v>2022</v>
      </c>
      <c r="V6" s="9">
        <f>+'[2]Colector Gral Lagos I-V'!$V$35</f>
        <v>3826.9356946859084</v>
      </c>
      <c r="W6" s="35">
        <f>+'[2]Colector Gral Lagos I-V'!$U$35</f>
        <v>7.5725958144064656</v>
      </c>
      <c r="X6" s="44">
        <f>1+(14/(4+(SQRT(V6/1000))))</f>
        <v>3.3504700112127006</v>
      </c>
      <c r="Y6" s="34">
        <f t="shared" ref="Y6:Y21" si="2">+X6*W6</f>
        <v>25.371755183203682</v>
      </c>
      <c r="Z6" s="34">
        <f>+W6*$Z$4</f>
        <v>1.5145191628812933</v>
      </c>
      <c r="AA6" s="34">
        <f>+Z6+Y6</f>
        <v>26.886274346084974</v>
      </c>
      <c r="AB6" s="35">
        <f>+'[2]Colector Gral Lagos I-V'!$AA$35</f>
        <v>185.06039879412751</v>
      </c>
      <c r="AC6" s="57">
        <f>+AB6+AA6</f>
        <v>211.94667314021248</v>
      </c>
      <c r="AE6" s="46">
        <f>+G6</f>
        <v>211.94667314021248</v>
      </c>
      <c r="AF6" s="34">
        <f>+AE6-AC6</f>
        <v>0</v>
      </c>
    </row>
    <row r="7" spans="1:32" x14ac:dyDescent="0.3">
      <c r="B7" s="2">
        <f t="shared" ref="B7:B21" si="3">+B6+1</f>
        <v>2023</v>
      </c>
      <c r="C7" s="3">
        <f t="shared" ref="C7:C21" si="4">+C6</f>
        <v>253.29232767506878</v>
      </c>
      <c r="D7" s="3">
        <f t="shared" si="0"/>
        <v>253.29232767506878</v>
      </c>
      <c r="E7" s="3">
        <f t="shared" ref="E7:F21" si="5">+E6</f>
        <v>0.89583835548309498</v>
      </c>
      <c r="F7" s="3">
        <f t="shared" si="5"/>
        <v>600</v>
      </c>
      <c r="G7" s="3">
        <f>+'[3]Colector Gral Lagos I-V'!$AB$35</f>
        <v>217.67975023665335</v>
      </c>
      <c r="H7" s="3">
        <f t="shared" si="1"/>
        <v>35.612577438415428</v>
      </c>
      <c r="L7" s="2">
        <f t="shared" ref="L7:L21" si="6">+L6+1</f>
        <v>2023</v>
      </c>
      <c r="M7" s="1"/>
      <c r="N7" s="14"/>
      <c r="O7" s="14"/>
      <c r="P7" s="14"/>
      <c r="Q7" s="14"/>
      <c r="R7" s="1"/>
      <c r="U7" s="56">
        <f t="shared" ref="U7:U21" si="7">+L7</f>
        <v>2023</v>
      </c>
      <c r="V7" s="9">
        <f>+'[3]Colector Gral Lagos I-V'!$V$35</f>
        <v>3854.0166212264062</v>
      </c>
      <c r="W7" s="35">
        <f>+'[3]Colector Gral Lagos I-V'!$U$35</f>
        <v>7.7827450378753094</v>
      </c>
      <c r="X7" s="44">
        <f>1+(14/(4+(SQRT(V7/1000))))</f>
        <v>3.3477465602909255</v>
      </c>
      <c r="Y7" s="34">
        <f t="shared" si="2"/>
        <v>26.054657930168336</v>
      </c>
      <c r="Z7" s="34">
        <f t="shared" ref="Z7:Z21" si="8">+W7*$Z$4</f>
        <v>1.5565490075750619</v>
      </c>
      <c r="AA7" s="34">
        <f t="shared" ref="AA7:AA21" si="9">+Z7+Y7</f>
        <v>27.611206937743397</v>
      </c>
      <c r="AB7" s="35">
        <f>+'[3]Colector Gral Lagos I-V'!$AA$35</f>
        <v>190.06854329890996</v>
      </c>
      <c r="AC7" s="57">
        <f t="shared" ref="AC7:AC21" si="10">+AB7+AA7</f>
        <v>217.67975023665335</v>
      </c>
      <c r="AE7" s="46">
        <f t="shared" ref="AE7:AE21" si="11">+G7</f>
        <v>217.67975023665335</v>
      </c>
      <c r="AF7" s="34">
        <f t="shared" ref="AF7:AF21" si="12">+AE7-AC7</f>
        <v>0</v>
      </c>
    </row>
    <row r="8" spans="1:32" x14ac:dyDescent="0.3">
      <c r="B8" s="2">
        <f t="shared" si="3"/>
        <v>2024</v>
      </c>
      <c r="C8" s="3">
        <f t="shared" si="4"/>
        <v>253.29232767506878</v>
      </c>
      <c r="D8" s="3">
        <f t="shared" si="0"/>
        <v>253.29232767506878</v>
      </c>
      <c r="E8" s="3">
        <f t="shared" si="5"/>
        <v>0.89583835548309498</v>
      </c>
      <c r="F8" s="3">
        <f t="shared" si="5"/>
        <v>600</v>
      </c>
      <c r="G8" s="3">
        <f>+'[4]Colector Gral Lagos I-V'!$AB$35</f>
        <v>221.9602190828881</v>
      </c>
      <c r="H8" s="3">
        <f t="shared" si="1"/>
        <v>31.332108592180674</v>
      </c>
      <c r="L8" s="2">
        <f t="shared" si="6"/>
        <v>2024</v>
      </c>
      <c r="M8" s="1"/>
      <c r="N8" s="4"/>
      <c r="O8" s="3"/>
      <c r="P8" s="1"/>
      <c r="Q8" s="3"/>
      <c r="R8" s="1"/>
      <c r="U8" s="56">
        <f t="shared" si="7"/>
        <v>2024</v>
      </c>
      <c r="V8" s="9">
        <f>+'[4]Colector Gral Lagos I-V'!$V$35</f>
        <v>3881.2218862725972</v>
      </c>
      <c r="W8" s="35">
        <f>+'[4]Colector Gral Lagos I-V'!$U$35</f>
        <v>7.9416378155734115</v>
      </c>
      <c r="X8" s="44">
        <f t="shared" ref="X8:X21" si="13">1+(14/(4+(SQRT(V8/1000))))</f>
        <v>3.3450265363960265</v>
      </c>
      <c r="Y8" s="34">
        <f t="shared" si="2"/>
        <v>26.564989235539233</v>
      </c>
      <c r="Z8" s="34">
        <f t="shared" si="8"/>
        <v>1.5883275631146825</v>
      </c>
      <c r="AA8" s="34">
        <f t="shared" si="9"/>
        <v>28.153316798653915</v>
      </c>
      <c r="AB8" s="35">
        <f>+'[4]Colector Gral Lagos I-V'!$AA$35</f>
        <v>193.80690228423418</v>
      </c>
      <c r="AC8" s="57">
        <f t="shared" si="10"/>
        <v>221.9602190828881</v>
      </c>
      <c r="AE8" s="46">
        <f t="shared" si="11"/>
        <v>221.9602190828881</v>
      </c>
      <c r="AF8" s="34">
        <f t="shared" si="12"/>
        <v>0</v>
      </c>
    </row>
    <row r="9" spans="1:32" x14ac:dyDescent="0.3">
      <c r="B9" s="2">
        <f t="shared" si="3"/>
        <v>2025</v>
      </c>
      <c r="C9" s="3">
        <f t="shared" si="4"/>
        <v>253.29232767506878</v>
      </c>
      <c r="D9" s="3">
        <f t="shared" si="0"/>
        <v>253.29232767506878</v>
      </c>
      <c r="E9" s="3">
        <f t="shared" si="5"/>
        <v>0.89583835548309498</v>
      </c>
      <c r="F9" s="3">
        <f t="shared" si="5"/>
        <v>600</v>
      </c>
      <c r="G9" s="3">
        <f>+'[5]Colector Gral Lagos I-V'!$AB$35</f>
        <v>226.2533538681686</v>
      </c>
      <c r="H9" s="3">
        <f t="shared" si="1"/>
        <v>27.038973806900174</v>
      </c>
      <c r="L9" s="2">
        <f t="shared" si="6"/>
        <v>2025</v>
      </c>
      <c r="M9" s="1"/>
      <c r="N9" s="4"/>
      <c r="O9" s="3"/>
      <c r="P9" s="1"/>
      <c r="Q9" s="3"/>
      <c r="R9" s="1"/>
      <c r="U9" s="56">
        <f t="shared" si="7"/>
        <v>2025</v>
      </c>
      <c r="V9" s="9">
        <f>+'[5]Colector Gral Lagos I-V'!$V$35</f>
        <v>3908.5266221233464</v>
      </c>
      <c r="W9" s="35">
        <f>+'[5]Colector Gral Lagos I-V'!$U$35</f>
        <v>8.1012441953048206</v>
      </c>
      <c r="X9" s="44">
        <f t="shared" si="13"/>
        <v>3.3423124324296456</v>
      </c>
      <c r="Y9" s="34">
        <f t="shared" si="2"/>
        <v>27.076889192115804</v>
      </c>
      <c r="Z9" s="34">
        <f t="shared" si="8"/>
        <v>1.6202488390609642</v>
      </c>
      <c r="AA9" s="34">
        <f t="shared" si="9"/>
        <v>28.697138031176767</v>
      </c>
      <c r="AB9" s="35">
        <f>+'[5]Colector Gral Lagos I-V'!$AA$35</f>
        <v>197.55621583699184</v>
      </c>
      <c r="AC9" s="57">
        <f t="shared" si="10"/>
        <v>226.2533538681686</v>
      </c>
      <c r="AE9" s="46">
        <f t="shared" si="11"/>
        <v>226.2533538681686</v>
      </c>
      <c r="AF9" s="34">
        <f t="shared" si="12"/>
        <v>0</v>
      </c>
    </row>
    <row r="10" spans="1:32" x14ac:dyDescent="0.3">
      <c r="B10" s="2">
        <f t="shared" si="3"/>
        <v>2026</v>
      </c>
      <c r="C10" s="3">
        <f t="shared" si="4"/>
        <v>253.29232767506878</v>
      </c>
      <c r="D10" s="3">
        <f t="shared" si="0"/>
        <v>253.29232767506878</v>
      </c>
      <c r="E10" s="3">
        <f t="shared" si="5"/>
        <v>0.89583835548309498</v>
      </c>
      <c r="F10" s="3">
        <f t="shared" si="5"/>
        <v>600</v>
      </c>
      <c r="G10" s="3">
        <f>+'[6]Colector Gral Lagos I-V'!$AB$35</f>
        <v>230.59122850555835</v>
      </c>
      <c r="H10" s="3">
        <f t="shared" si="1"/>
        <v>22.701099169510428</v>
      </c>
      <c r="L10" s="2">
        <f t="shared" si="6"/>
        <v>2026</v>
      </c>
      <c r="M10" s="1"/>
      <c r="N10" s="4"/>
      <c r="O10" s="3"/>
      <c r="P10" s="1"/>
      <c r="Q10" s="3"/>
      <c r="R10" s="1"/>
      <c r="U10" s="56">
        <f t="shared" si="7"/>
        <v>2026</v>
      </c>
      <c r="V10" s="9">
        <f>+'[6]Colector Gral Lagos I-V'!$V$35</f>
        <v>3935.9805641809303</v>
      </c>
      <c r="W10" s="35">
        <f>+'[6]Colector Gral Lagos I-V'!$U$35</f>
        <v>8.2627196986386409</v>
      </c>
      <c r="X10" s="44">
        <f t="shared" si="13"/>
        <v>3.3395993322891524</v>
      </c>
      <c r="Y10" s="34">
        <f t="shared" si="2"/>
        <v>27.59417318846603</v>
      </c>
      <c r="Z10" s="34">
        <f t="shared" si="8"/>
        <v>1.6525439397277282</v>
      </c>
      <c r="AA10" s="34">
        <f t="shared" si="9"/>
        <v>29.246717128193758</v>
      </c>
      <c r="AB10" s="35">
        <f>+'[6]Colector Gral Lagos I-V'!$AA$35</f>
        <v>201.3445113773646</v>
      </c>
      <c r="AC10" s="57">
        <f t="shared" si="10"/>
        <v>230.59122850555835</v>
      </c>
      <c r="AE10" s="46">
        <f t="shared" si="11"/>
        <v>230.59122850555835</v>
      </c>
      <c r="AF10" s="34">
        <f t="shared" si="12"/>
        <v>0</v>
      </c>
    </row>
    <row r="11" spans="1:32" x14ac:dyDescent="0.3">
      <c r="B11" s="2">
        <f t="shared" si="3"/>
        <v>2027</v>
      </c>
      <c r="C11" s="3">
        <f t="shared" si="4"/>
        <v>253.29232767506878</v>
      </c>
      <c r="D11" s="3">
        <f t="shared" si="0"/>
        <v>253.29232767506878</v>
      </c>
      <c r="E11" s="3">
        <f t="shared" si="5"/>
        <v>0.89583835548309498</v>
      </c>
      <c r="F11" s="3">
        <f t="shared" si="5"/>
        <v>600</v>
      </c>
      <c r="G11" s="3">
        <f>+'[7]Colector Gral Lagos I-V'!$AB$35</f>
        <v>234.96575912883441</v>
      </c>
      <c r="H11" s="3">
        <f t="shared" si="1"/>
        <v>18.32656854623437</v>
      </c>
      <c r="L11" s="2">
        <f t="shared" si="6"/>
        <v>2027</v>
      </c>
      <c r="M11" s="1"/>
      <c r="N11" s="4"/>
      <c r="O11" s="3"/>
      <c r="P11" s="1"/>
      <c r="Q11" s="3"/>
      <c r="R11" s="1"/>
      <c r="U11" s="56">
        <f t="shared" si="7"/>
        <v>2027</v>
      </c>
      <c r="V11" s="9">
        <f>+'[7]Colector Gral Lagos I-V'!$V$35</f>
        <v>3963.5588447442092</v>
      </c>
      <c r="W11" s="35">
        <f>+'[7]Colector Gral Lagos I-V'!$U$35</f>
        <v>8.425774064554993</v>
      </c>
      <c r="X11" s="44">
        <f t="shared" si="13"/>
        <v>3.3368897419226915</v>
      </c>
      <c r="Y11" s="34">
        <f t="shared" si="2"/>
        <v>28.11587904377182</v>
      </c>
      <c r="Z11" s="34">
        <f t="shared" si="8"/>
        <v>1.6851548129109988</v>
      </c>
      <c r="AA11" s="34">
        <f t="shared" si="9"/>
        <v>29.801033856682817</v>
      </c>
      <c r="AB11" s="35">
        <f>+'[7]Colector Gral Lagos I-V'!$AA$35</f>
        <v>205.1647252721516</v>
      </c>
      <c r="AC11" s="57">
        <f t="shared" si="10"/>
        <v>234.96575912883441</v>
      </c>
      <c r="AE11" s="46">
        <f t="shared" si="11"/>
        <v>234.96575912883441</v>
      </c>
      <c r="AF11" s="34">
        <f t="shared" si="12"/>
        <v>0</v>
      </c>
    </row>
    <row r="12" spans="1:32" x14ac:dyDescent="0.3">
      <c r="B12" s="2">
        <f t="shared" si="3"/>
        <v>2028</v>
      </c>
      <c r="C12" s="3">
        <f t="shared" si="4"/>
        <v>253.29232767506878</v>
      </c>
      <c r="D12" s="3">
        <f t="shared" si="0"/>
        <v>253.29232767506878</v>
      </c>
      <c r="E12" s="3">
        <f t="shared" si="5"/>
        <v>0.89583835548309498</v>
      </c>
      <c r="F12" s="3">
        <f t="shared" si="5"/>
        <v>600</v>
      </c>
      <c r="G12" s="3">
        <f>+'[8]Colector Gral Lagos I-V'!$AB$35</f>
        <v>239.39364029858407</v>
      </c>
      <c r="H12" s="3">
        <f t="shared" si="1"/>
        <v>13.898687376484702</v>
      </c>
      <c r="L12" s="2">
        <f t="shared" si="6"/>
        <v>2028</v>
      </c>
      <c r="M12" s="1"/>
      <c r="N12" s="4"/>
      <c r="O12" s="3"/>
      <c r="P12" s="1"/>
      <c r="Q12" s="3"/>
      <c r="R12" s="1"/>
      <c r="U12" s="56">
        <f t="shared" si="7"/>
        <v>2028</v>
      </c>
      <c r="V12" s="9">
        <f>+'[8]Colector Gral Lagos I-V'!$V$35</f>
        <v>3991.2863315143231</v>
      </c>
      <c r="W12" s="35">
        <f>+'[8]Colector Gral Lagos I-V'!$U$35</f>
        <v>8.5910126270471405</v>
      </c>
      <c r="X12" s="44">
        <f t="shared" si="13"/>
        <v>3.3341812654447462</v>
      </c>
      <c r="Y12" s="34">
        <f t="shared" si="2"/>
        <v>28.64399335229983</v>
      </c>
      <c r="Z12" s="34">
        <f t="shared" si="8"/>
        <v>1.7182025254094282</v>
      </c>
      <c r="AA12" s="34">
        <f t="shared" si="9"/>
        <v>30.362195877709258</v>
      </c>
      <c r="AB12" s="35">
        <f>+'[8]Colector Gral Lagos I-V'!$AA$35</f>
        <v>209.03144442087481</v>
      </c>
      <c r="AC12" s="57">
        <f t="shared" si="10"/>
        <v>239.39364029858407</v>
      </c>
      <c r="AE12" s="46">
        <f t="shared" si="11"/>
        <v>239.39364029858407</v>
      </c>
      <c r="AF12" s="34">
        <f t="shared" si="12"/>
        <v>0</v>
      </c>
    </row>
    <row r="13" spans="1:32" x14ac:dyDescent="0.3">
      <c r="B13" s="2">
        <f t="shared" si="3"/>
        <v>2029</v>
      </c>
      <c r="C13" s="3">
        <f t="shared" si="4"/>
        <v>253.29232767506878</v>
      </c>
      <c r="D13" s="3">
        <f t="shared" si="0"/>
        <v>253.29232767506878</v>
      </c>
      <c r="E13" s="3">
        <f t="shared" si="5"/>
        <v>0.89583835548309498</v>
      </c>
      <c r="F13" s="3">
        <f t="shared" si="5"/>
        <v>600</v>
      </c>
      <c r="G13" s="3">
        <f>+'[9]Colector Gral Lagos I-V'!$AB$35</f>
        <v>243.83256935477755</v>
      </c>
      <c r="H13" s="3">
        <f t="shared" si="1"/>
        <v>9.459758320291229</v>
      </c>
      <c r="L13" s="2">
        <f t="shared" si="6"/>
        <v>2029</v>
      </c>
      <c r="M13" s="3" t="str">
        <f t="shared" ref="M13:M18" si="14">IF(H13&gt;0,"-",-H13)</f>
        <v>-</v>
      </c>
      <c r="N13" s="4"/>
      <c r="O13" s="3"/>
      <c r="P13" s="1"/>
      <c r="Q13" s="3"/>
      <c r="R13" s="1"/>
      <c r="U13" s="56">
        <f t="shared" si="7"/>
        <v>2029</v>
      </c>
      <c r="V13" s="9">
        <f>+'[9]Colector Gral Lagos I-V'!$V$35</f>
        <v>4019.1132890889935</v>
      </c>
      <c r="W13" s="35">
        <f>+'[9]Colector Gral Lagos I-V'!$U$35</f>
        <v>8.756917099597457</v>
      </c>
      <c r="X13" s="44">
        <f t="shared" si="13"/>
        <v>3.3314787865964401</v>
      </c>
      <c r="Y13" s="34">
        <f t="shared" si="2"/>
        <v>29.173483553292556</v>
      </c>
      <c r="Z13" s="34">
        <f t="shared" si="8"/>
        <v>1.7513834199194915</v>
      </c>
      <c r="AA13" s="34">
        <f t="shared" si="9"/>
        <v>30.924866973212048</v>
      </c>
      <c r="AB13" s="35">
        <f>+'[9]Colector Gral Lagos I-V'!$AA$35</f>
        <v>212.90770238156549</v>
      </c>
      <c r="AC13" s="57">
        <f t="shared" si="10"/>
        <v>243.83256935477755</v>
      </c>
      <c r="AE13" s="46">
        <f t="shared" si="11"/>
        <v>243.83256935477755</v>
      </c>
      <c r="AF13" s="34">
        <f t="shared" si="12"/>
        <v>0</v>
      </c>
    </row>
    <row r="14" spans="1:32" x14ac:dyDescent="0.3">
      <c r="B14" s="2">
        <f t="shared" si="3"/>
        <v>2030</v>
      </c>
      <c r="C14" s="3">
        <f t="shared" si="4"/>
        <v>253.29232767506878</v>
      </c>
      <c r="D14" s="3">
        <f t="shared" si="0"/>
        <v>253.29232767506878</v>
      </c>
      <c r="E14" s="3">
        <f t="shared" si="5"/>
        <v>0.89583835548309498</v>
      </c>
      <c r="F14" s="3">
        <f t="shared" si="5"/>
        <v>600</v>
      </c>
      <c r="G14" s="3">
        <f>+'[10]Colector Gral Lagos I-V'!$AB$35</f>
        <v>248.31637218409486</v>
      </c>
      <c r="H14" s="3">
        <f t="shared" si="1"/>
        <v>4.9759554909739165</v>
      </c>
      <c r="L14" s="2">
        <f t="shared" si="6"/>
        <v>2030</v>
      </c>
      <c r="M14" s="3" t="str">
        <f t="shared" si="14"/>
        <v>-</v>
      </c>
      <c r="N14" s="4"/>
      <c r="O14" s="3"/>
      <c r="P14" s="1"/>
      <c r="Q14" s="1"/>
      <c r="R14" s="1"/>
      <c r="U14" s="56">
        <f t="shared" si="7"/>
        <v>2030</v>
      </c>
      <c r="V14" s="9">
        <f>+'[10]Colector Gral Lagos I-V'!$V$35</f>
        <v>4047.0894528704998</v>
      </c>
      <c r="W14" s="35">
        <f>+'[10]Colector Gral Lagos I-V'!$U$35</f>
        <v>8.9247102160868472</v>
      </c>
      <c r="X14" s="44">
        <f t="shared" si="13"/>
        <v>3.3287774999034316</v>
      </c>
      <c r="Y14" s="34">
        <f t="shared" si="2"/>
        <v>29.70837456046819</v>
      </c>
      <c r="Z14" s="34">
        <f t="shared" si="8"/>
        <v>1.7849420432173695</v>
      </c>
      <c r="AA14" s="34">
        <f t="shared" si="9"/>
        <v>31.49331660368556</v>
      </c>
      <c r="AB14" s="35">
        <f>+'[10]Colector Gral Lagos I-V'!$AA$35</f>
        <v>216.82305558040929</v>
      </c>
      <c r="AC14" s="57">
        <f t="shared" si="10"/>
        <v>248.31637218409486</v>
      </c>
      <c r="AE14" s="46">
        <f t="shared" si="11"/>
        <v>248.31637218409486</v>
      </c>
      <c r="AF14" s="34">
        <f t="shared" si="12"/>
        <v>0</v>
      </c>
    </row>
    <row r="15" spans="1:32" x14ac:dyDescent="0.3">
      <c r="B15" s="2">
        <f t="shared" si="3"/>
        <v>2031</v>
      </c>
      <c r="C15" s="3">
        <f t="shared" si="4"/>
        <v>253.29232767506878</v>
      </c>
      <c r="D15" s="3">
        <f t="shared" si="0"/>
        <v>253.29232767506878</v>
      </c>
      <c r="E15" s="3">
        <f t="shared" si="5"/>
        <v>0.89583835548309498</v>
      </c>
      <c r="F15" s="3">
        <f t="shared" si="5"/>
        <v>600</v>
      </c>
      <c r="G15" s="3">
        <f>+'[11]Colector Gral Lagos I-V'!$AB$35</f>
        <v>252.83626328846893</v>
      </c>
      <c r="H15" s="3">
        <f t="shared" si="1"/>
        <v>0.4560643865998486</v>
      </c>
      <c r="L15" s="2">
        <f t="shared" si="6"/>
        <v>2031</v>
      </c>
      <c r="M15" s="3" t="str">
        <f t="shared" si="14"/>
        <v>-</v>
      </c>
      <c r="N15" s="4"/>
      <c r="O15" s="3"/>
      <c r="P15" s="1"/>
      <c r="Q15" s="1"/>
      <c r="R15" s="1"/>
      <c r="U15" s="56">
        <f t="shared" si="7"/>
        <v>2031</v>
      </c>
      <c r="V15" s="9">
        <f>+'[11]Colector Gral Lagos I-V'!$V$35</f>
        <v>4075.2148228588394</v>
      </c>
      <c r="W15" s="35">
        <f>+'[11]Colector Gral Lagos I-V'!$U$35</f>
        <v>9.0940821951587658</v>
      </c>
      <c r="X15" s="44">
        <f t="shared" si="13"/>
        <v>3.3260774710471166</v>
      </c>
      <c r="Y15" s="34">
        <f t="shared" si="2"/>
        <v>30.247621909168277</v>
      </c>
      <c r="Z15" s="34">
        <f t="shared" si="8"/>
        <v>1.8188164390317532</v>
      </c>
      <c r="AA15" s="34">
        <f t="shared" si="9"/>
        <v>32.06643834820003</v>
      </c>
      <c r="AB15" s="35">
        <f>+'[11]Colector Gral Lagos I-V'!$AA$35</f>
        <v>220.7698249402689</v>
      </c>
      <c r="AC15" s="57">
        <f t="shared" si="10"/>
        <v>252.83626328846893</v>
      </c>
      <c r="AE15" s="46">
        <f t="shared" si="11"/>
        <v>252.83626328846893</v>
      </c>
      <c r="AF15" s="34">
        <f t="shared" si="12"/>
        <v>0</v>
      </c>
    </row>
    <row r="16" spans="1:32" x14ac:dyDescent="0.3">
      <c r="B16" s="2">
        <f t="shared" si="3"/>
        <v>2032</v>
      </c>
      <c r="C16" s="3">
        <f t="shared" si="4"/>
        <v>253.29232767506878</v>
      </c>
      <c r="D16" s="3">
        <f t="shared" si="0"/>
        <v>253.29232767506878</v>
      </c>
      <c r="E16" s="3">
        <f t="shared" si="5"/>
        <v>0.89583835548309498</v>
      </c>
      <c r="F16" s="3">
        <f t="shared" si="5"/>
        <v>600</v>
      </c>
      <c r="G16" s="3">
        <f>+'[12]Colector Gral Lagos I-V'!$AB$35</f>
        <v>257.40984669132422</v>
      </c>
      <c r="H16" s="3">
        <f t="shared" si="1"/>
        <v>-4.1175190162554429</v>
      </c>
      <c r="L16" s="2">
        <f t="shared" si="6"/>
        <v>2032</v>
      </c>
      <c r="M16" s="3">
        <f t="shared" si="14"/>
        <v>4.1175190162554429</v>
      </c>
      <c r="N16" s="4">
        <f>+F2</f>
        <v>314.47000000000003</v>
      </c>
      <c r="O16" s="3">
        <f>+'[17]Colector Gral Lagos I-V (c_Pro)'!$E$90</f>
        <v>355</v>
      </c>
      <c r="P16" s="3">
        <f>+'[17]Colector Gral Lagos I-V (c_Pro)'!$AL$90</f>
        <v>62.858938454956743</v>
      </c>
      <c r="Q16" s="3">
        <f>+Q19</f>
        <v>0.74574332531375498</v>
      </c>
      <c r="R16" s="3">
        <f t="shared" ref="R16:R18" si="15">+P16-M16</f>
        <v>58.7414194387013</v>
      </c>
      <c r="U16" s="56">
        <f t="shared" si="7"/>
        <v>2032</v>
      </c>
      <c r="V16" s="9">
        <f>+'[12]Colector Gral Lagos I-V'!$V$35</f>
        <v>4103.4893990540131</v>
      </c>
      <c r="W16" s="35">
        <f>+'[12]Colector Gral Lagos I-V'!$U$35</f>
        <v>9.2656665424449542</v>
      </c>
      <c r="X16" s="44">
        <f t="shared" si="13"/>
        <v>3.323378764524306</v>
      </c>
      <c r="Y16" s="34">
        <f t="shared" si="2"/>
        <v>30.79331942632491</v>
      </c>
      <c r="Z16" s="34">
        <f t="shared" si="8"/>
        <v>1.8531333084889909</v>
      </c>
      <c r="AA16" s="34">
        <f t="shared" si="9"/>
        <v>32.646452734813899</v>
      </c>
      <c r="AB16" s="35">
        <f>+'[12]Colector Gral Lagos I-V'!$AA$35</f>
        <v>224.7633939565103</v>
      </c>
      <c r="AC16" s="57">
        <f t="shared" si="10"/>
        <v>257.40984669132422</v>
      </c>
      <c r="AE16" s="46">
        <f t="shared" si="11"/>
        <v>257.40984669132422</v>
      </c>
      <c r="AF16" s="34">
        <f t="shared" si="12"/>
        <v>0</v>
      </c>
    </row>
    <row r="17" spans="2:32" x14ac:dyDescent="0.3">
      <c r="B17" s="2">
        <f t="shared" si="3"/>
        <v>2033</v>
      </c>
      <c r="C17" s="3">
        <f t="shared" si="4"/>
        <v>253.29232767506878</v>
      </c>
      <c r="D17" s="3">
        <f t="shared" si="0"/>
        <v>253.29232767506878</v>
      </c>
      <c r="E17" s="3">
        <f t="shared" si="5"/>
        <v>0.89583835548309498</v>
      </c>
      <c r="F17" s="3">
        <f t="shared" si="5"/>
        <v>600</v>
      </c>
      <c r="G17" s="3">
        <f>+'[13]Colector Gral Lagos I-V'!$AB$35</f>
        <v>261.99227177587858</v>
      </c>
      <c r="H17" s="3">
        <f t="shared" si="1"/>
        <v>-8.6999441008098017</v>
      </c>
      <c r="L17" s="2">
        <f t="shared" si="6"/>
        <v>2033</v>
      </c>
      <c r="M17" s="3">
        <f t="shared" si="14"/>
        <v>8.6999441008098017</v>
      </c>
      <c r="N17" s="4">
        <f>+N16</f>
        <v>314.47000000000003</v>
      </c>
      <c r="O17" s="3">
        <f>+O16</f>
        <v>355</v>
      </c>
      <c r="P17" s="3">
        <f>+'[17]Colector Gral Lagos I-V (c_Pro)'!$AL$90</f>
        <v>62.858938454956743</v>
      </c>
      <c r="Q17" s="3">
        <f>+Q19</f>
        <v>0.74574332531375498</v>
      </c>
      <c r="R17" s="3">
        <f t="shared" si="15"/>
        <v>54.158994354146941</v>
      </c>
      <c r="U17" s="56">
        <f t="shared" si="7"/>
        <v>2033</v>
      </c>
      <c r="V17" s="9">
        <f>+'[13]Colector Gral Lagos I-V'!$V$35</f>
        <v>4131.938049157161</v>
      </c>
      <c r="W17" s="35">
        <f>+'[13]Colector Gral Lagos I-V'!$U$35</f>
        <v>9.4378691078141763</v>
      </c>
      <c r="X17" s="44">
        <f t="shared" si="13"/>
        <v>3.3206790906095427</v>
      </c>
      <c r="Y17" s="34">
        <f t="shared" si="2"/>
        <v>31.340134606228276</v>
      </c>
      <c r="Z17" s="34">
        <f t="shared" si="8"/>
        <v>1.8875738215628353</v>
      </c>
      <c r="AA17" s="34">
        <f t="shared" si="9"/>
        <v>33.227708427791114</v>
      </c>
      <c r="AB17" s="35">
        <f>+'[13]Colector Gral Lagos I-V'!$AA$35</f>
        <v>228.76456334808745</v>
      </c>
      <c r="AC17" s="57">
        <f t="shared" si="10"/>
        <v>261.99227177587858</v>
      </c>
      <c r="AE17" s="46">
        <f t="shared" si="11"/>
        <v>261.99227177587858</v>
      </c>
      <c r="AF17" s="34">
        <f t="shared" si="12"/>
        <v>0</v>
      </c>
    </row>
    <row r="18" spans="2:32" x14ac:dyDescent="0.3">
      <c r="B18" s="2">
        <f t="shared" si="3"/>
        <v>2034</v>
      </c>
      <c r="C18" s="3">
        <f t="shared" si="4"/>
        <v>253.29232767506878</v>
      </c>
      <c r="D18" s="3">
        <f t="shared" si="0"/>
        <v>253.29232767506878</v>
      </c>
      <c r="E18" s="3">
        <f t="shared" si="5"/>
        <v>0.89583835548309498</v>
      </c>
      <c r="F18" s="3">
        <f t="shared" si="5"/>
        <v>600</v>
      </c>
      <c r="G18" s="3">
        <f>+'[14]Colector Gral Lagos I-V'!$AB$35</f>
        <v>266.62009381777165</v>
      </c>
      <c r="H18" s="3">
        <f t="shared" si="1"/>
        <v>-13.32776614270287</v>
      </c>
      <c r="L18" s="2">
        <f t="shared" si="6"/>
        <v>2034</v>
      </c>
      <c r="M18" s="3">
        <f t="shared" si="14"/>
        <v>13.32776614270287</v>
      </c>
      <c r="N18" s="4">
        <f>+N17</f>
        <v>314.47000000000003</v>
      </c>
      <c r="O18" s="3">
        <f>+O17</f>
        <v>355</v>
      </c>
      <c r="P18" s="3">
        <f>+'[17]Colector Gral Lagos I-V (c_Pro)'!$AL$90</f>
        <v>62.858938454956743</v>
      </c>
      <c r="Q18" s="3">
        <f>+Q19</f>
        <v>0.74574332531375498</v>
      </c>
      <c r="R18" s="3">
        <f t="shared" si="15"/>
        <v>49.531172312253872</v>
      </c>
      <c r="U18" s="56">
        <f t="shared" si="7"/>
        <v>2034</v>
      </c>
      <c r="V18" s="9">
        <f>+'[14]Colector Gral Lagos I-V'!$V$35</f>
        <v>4160.4861700648662</v>
      </c>
      <c r="W18" s="35">
        <f>+'[14]Colector Gral Lagos I-V'!$U$35</f>
        <v>9.6119798374591294</v>
      </c>
      <c r="X18" s="44">
        <f t="shared" si="13"/>
        <v>3.3179855706440291</v>
      </c>
      <c r="Y18" s="34">
        <f t="shared" si="2"/>
        <v>31.892410406010733</v>
      </c>
      <c r="Z18" s="34">
        <f t="shared" si="8"/>
        <v>1.9223959674918261</v>
      </c>
      <c r="AA18" s="34">
        <f t="shared" si="9"/>
        <v>33.814806373502556</v>
      </c>
      <c r="AB18" s="35">
        <f>+'[14]Colector Gral Lagos I-V'!$AA$35</f>
        <v>232.80528744426908</v>
      </c>
      <c r="AC18" s="57">
        <f t="shared" si="10"/>
        <v>266.62009381777165</v>
      </c>
      <c r="AE18" s="46">
        <f t="shared" si="11"/>
        <v>266.62009381777165</v>
      </c>
      <c r="AF18" s="34">
        <f t="shared" si="12"/>
        <v>0</v>
      </c>
    </row>
    <row r="19" spans="2:32" x14ac:dyDescent="0.3">
      <c r="B19" s="2">
        <f t="shared" si="3"/>
        <v>2035</v>
      </c>
      <c r="C19" s="3">
        <f t="shared" si="4"/>
        <v>253.29232767506878</v>
      </c>
      <c r="D19" s="3">
        <f t="shared" si="0"/>
        <v>253.29232767506878</v>
      </c>
      <c r="E19" s="3">
        <f t="shared" si="5"/>
        <v>0.89583835548309498</v>
      </c>
      <c r="F19" s="3">
        <f t="shared" si="5"/>
        <v>600</v>
      </c>
      <c r="G19" s="3">
        <f>+'[15]Colector Gral Lagos I-V'!$AB$35</f>
        <v>271.28320986422494</v>
      </c>
      <c r="H19" s="3">
        <f t="shared" si="1"/>
        <v>-17.990882189156167</v>
      </c>
      <c r="L19" s="2">
        <f t="shared" si="6"/>
        <v>2035</v>
      </c>
      <c r="M19" s="3">
        <f t="shared" ref="M19:M21" si="16">IF(H19&gt;0,"-",-H19)</f>
        <v>17.990882189156167</v>
      </c>
      <c r="N19" s="4">
        <f>+F2</f>
        <v>314.47000000000003</v>
      </c>
      <c r="O19" s="3">
        <f>+'[17]Colector Gral Lagos I-V (c_Pro)'!$E$90</f>
        <v>355</v>
      </c>
      <c r="P19" s="3">
        <f>+'[17]Colector Gral Lagos I-V (c_Pro)'!$AL$90</f>
        <v>62.858938454956743</v>
      </c>
      <c r="Q19" s="3">
        <f>+P19/(1000)/(0.25*PI()*(S19/1000)^2)</f>
        <v>0.74574332531375498</v>
      </c>
      <c r="R19" s="3">
        <f t="shared" ref="R19:R21" si="17">+P19-M19</f>
        <v>44.868056265800575</v>
      </c>
      <c r="S19" s="12">
        <f>+'[17]Colector Gral Lagos I-V (c_Pro)'!$F$90</f>
        <v>327.60000000000002</v>
      </c>
      <c r="U19" s="56">
        <f t="shared" si="7"/>
        <v>2035</v>
      </c>
      <c r="V19" s="9">
        <f>+'[15]Colector Gral Lagos I-V'!$V$35</f>
        <v>4189.2332325816833</v>
      </c>
      <c r="W19" s="35">
        <f>+'[15]Colector Gral Lagos I-V'!$U$35</f>
        <v>9.7876694296866145</v>
      </c>
      <c r="X19" s="44">
        <f t="shared" si="13"/>
        <v>3.315288880442719</v>
      </c>
      <c r="Y19" s="34">
        <f t="shared" si="2"/>
        <v>32.448951625689162</v>
      </c>
      <c r="Z19" s="34">
        <f t="shared" si="8"/>
        <v>1.957533885937323</v>
      </c>
      <c r="AA19" s="34">
        <f t="shared" si="9"/>
        <v>34.406485511626485</v>
      </c>
      <c r="AB19" s="35">
        <f>+'[15]Colector Gral Lagos I-V'!$AA$35</f>
        <v>236.87672435259847</v>
      </c>
      <c r="AC19" s="57">
        <f t="shared" si="10"/>
        <v>271.28320986422494</v>
      </c>
      <c r="AE19" s="46">
        <f t="shared" si="11"/>
        <v>271.28320986422494</v>
      </c>
      <c r="AF19" s="34">
        <f t="shared" si="12"/>
        <v>0</v>
      </c>
    </row>
    <row r="20" spans="2:32" x14ac:dyDescent="0.3">
      <c r="B20" s="2">
        <f t="shared" si="3"/>
        <v>2036</v>
      </c>
      <c r="C20" s="3">
        <f t="shared" si="4"/>
        <v>253.29232767506878</v>
      </c>
      <c r="D20" s="3">
        <f t="shared" si="0"/>
        <v>253.29232767506878</v>
      </c>
      <c r="E20" s="3">
        <f t="shared" si="5"/>
        <v>0.89583835548309498</v>
      </c>
      <c r="F20" s="3">
        <f t="shared" si="5"/>
        <v>600</v>
      </c>
      <c r="G20" s="3">
        <f>+'[16]Colector Gral Lagos I-V'!$AB$35</f>
        <v>276.0005551477974</v>
      </c>
      <c r="H20" s="3">
        <f t="shared" si="1"/>
        <v>-22.708227472728623</v>
      </c>
      <c r="L20" s="2">
        <f t="shared" si="6"/>
        <v>2036</v>
      </c>
      <c r="M20" s="3">
        <f t="shared" si="16"/>
        <v>22.708227472728623</v>
      </c>
      <c r="N20" s="4">
        <f t="shared" ref="N20:N21" si="18">+N19</f>
        <v>314.47000000000003</v>
      </c>
      <c r="O20" s="3">
        <f t="shared" ref="O20:O21" si="19">+O19</f>
        <v>355</v>
      </c>
      <c r="P20" s="3">
        <f t="shared" ref="P20:P21" si="20">+P19</f>
        <v>62.858938454956743</v>
      </c>
      <c r="Q20" s="3">
        <f t="shared" ref="Q20:Q21" si="21">+Q19</f>
        <v>0.74574332531375498</v>
      </c>
      <c r="R20" s="3">
        <f t="shared" si="17"/>
        <v>40.150710982228119</v>
      </c>
      <c r="U20" s="56">
        <f t="shared" si="7"/>
        <v>2036</v>
      </c>
      <c r="V20" s="9">
        <f>+'[16]Colector Gral Lagos I-V'!$V$35</f>
        <v>4218.1046336041982</v>
      </c>
      <c r="W20" s="35">
        <f>+'[16]Colector Gral Lagos I-V'!$U$35</f>
        <v>9.9655995617668491</v>
      </c>
      <c r="X20" s="44">
        <f t="shared" si="13"/>
        <v>3.3125960984772167</v>
      </c>
      <c r="Y20" s="34">
        <f t="shared" si="2"/>
        <v>33.012006227295124</v>
      </c>
      <c r="Z20" s="34">
        <f t="shared" si="8"/>
        <v>1.9931199123533698</v>
      </c>
      <c r="AA20" s="34">
        <f t="shared" si="9"/>
        <v>35.005126139648496</v>
      </c>
      <c r="AB20" s="35">
        <f>+'[16]Colector Gral Lagos I-V'!$AA$35</f>
        <v>240.99542900814893</v>
      </c>
      <c r="AC20" s="57">
        <f t="shared" si="10"/>
        <v>276.0005551477974</v>
      </c>
      <c r="AE20" s="46">
        <f t="shared" si="11"/>
        <v>276.0005551477974</v>
      </c>
      <c r="AF20" s="34">
        <f t="shared" si="12"/>
        <v>0</v>
      </c>
    </row>
    <row r="21" spans="2:32" ht="13.8" thickBot="1" x14ac:dyDescent="0.35">
      <c r="B21" s="2">
        <f t="shared" si="3"/>
        <v>2037</v>
      </c>
      <c r="C21" s="3">
        <f t="shared" si="4"/>
        <v>253.29232767506878</v>
      </c>
      <c r="D21" s="3">
        <f t="shared" si="0"/>
        <v>253.29232767506878</v>
      </c>
      <c r="E21" s="3">
        <f t="shared" si="5"/>
        <v>0.89583835548309498</v>
      </c>
      <c r="F21" s="3">
        <f t="shared" si="5"/>
        <v>600</v>
      </c>
      <c r="G21" s="3">
        <f>+'[17]Colector Gral Lagos I-V'!$AB$35</f>
        <v>280.72511326644724</v>
      </c>
      <c r="H21" s="3">
        <f t="shared" si="1"/>
        <v>-27.432785591378462</v>
      </c>
      <c r="I21" s="13">
        <f>+G21/G6-1</f>
        <v>0.32450823175098686</v>
      </c>
      <c r="J21" s="13"/>
      <c r="L21" s="2">
        <f t="shared" si="6"/>
        <v>2037</v>
      </c>
      <c r="M21" s="3">
        <f t="shared" si="16"/>
        <v>27.432785591378462</v>
      </c>
      <c r="N21" s="4">
        <f t="shared" si="18"/>
        <v>314.47000000000003</v>
      </c>
      <c r="O21" s="3">
        <f t="shared" si="19"/>
        <v>355</v>
      </c>
      <c r="P21" s="3">
        <f t="shared" si="20"/>
        <v>62.858938454956743</v>
      </c>
      <c r="Q21" s="3">
        <f t="shared" si="21"/>
        <v>0.74574332531375498</v>
      </c>
      <c r="R21" s="3">
        <f t="shared" si="17"/>
        <v>35.426152863578281</v>
      </c>
      <c r="U21" s="58">
        <f t="shared" si="7"/>
        <v>2037</v>
      </c>
      <c r="V21" s="59">
        <f>+'[17]Colector Gral Lagos I-V'!$V$35</f>
        <v>4247.1501085346845</v>
      </c>
      <c r="W21" s="65">
        <f>+'[17]Colector Gral Lagos I-V'!$U$35</f>
        <v>10.14410021995498</v>
      </c>
      <c r="X21" s="61">
        <f t="shared" si="13"/>
        <v>3.3099026446402697</v>
      </c>
      <c r="Y21" s="60">
        <f t="shared" si="2"/>
        <v>33.575984145524934</v>
      </c>
      <c r="Z21" s="60">
        <f t="shared" si="8"/>
        <v>2.0288200439909962</v>
      </c>
      <c r="AA21" s="60">
        <f t="shared" si="9"/>
        <v>35.604804189515932</v>
      </c>
      <c r="AB21" s="65">
        <f>+'[17]Colector Gral Lagos I-V'!$AA$35</f>
        <v>245.12030907693131</v>
      </c>
      <c r="AC21" s="62">
        <f t="shared" si="10"/>
        <v>280.72511326644724</v>
      </c>
      <c r="AE21" s="46">
        <f t="shared" si="11"/>
        <v>280.72511326644724</v>
      </c>
      <c r="AF21" s="34">
        <f t="shared" si="12"/>
        <v>0</v>
      </c>
    </row>
    <row r="22" spans="2:32" x14ac:dyDescent="0.3">
      <c r="M22" s="9"/>
      <c r="U22" s="43"/>
    </row>
    <row r="23" spans="2:32" x14ac:dyDescent="0.3">
      <c r="M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59</v>
      </c>
      <c r="E2" s="6" t="s">
        <v>7</v>
      </c>
      <c r="F2" s="7">
        <f>+'[17]Colector Gral Lagos I-V'!$N$28</f>
        <v>554.36000000000013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205</v>
      </c>
      <c r="O3" s="12" t="s">
        <v>206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Gral Lagos I'!B6</f>
        <v>2022</v>
      </c>
      <c r="C6" s="3">
        <f>+SUMPRODUCT('[17]Colector Gral Lagos I-V'!$AL$21:$AL$28,'[17]Colector Gral Lagos I-V'!$M$21:$M$28)/F2</f>
        <v>319.50170492127592</v>
      </c>
      <c r="D6" s="3">
        <f t="shared" ref="D6:D21" si="0">+C6</f>
        <v>319.50170492127592</v>
      </c>
      <c r="E6" s="3">
        <f>D6/(0.25*PI()*(F6/1000)^2)/1000</f>
        <v>1.6272088212642952</v>
      </c>
      <c r="F6" s="3">
        <f>+SUMPRODUCT('[17]Colector Gral Lagos I-V'!$F$21:$F$28,'[17]Colector Gral Lagos I-V'!$M$21:$M$28)/F2</f>
        <v>499.99999999999989</v>
      </c>
      <c r="G6" s="3">
        <f>+'[2]Colector Gral Lagos I-V'!$AB$28</f>
        <v>104.35474810505096</v>
      </c>
      <c r="H6" s="3">
        <f t="shared" ref="H6:H21" si="1">+D6-G6</f>
        <v>215.14695681622496</v>
      </c>
      <c r="K6" s="56">
        <f>+B6</f>
        <v>2022</v>
      </c>
      <c r="L6" s="9">
        <f>+'[2]Colector Gral Lagos I-V'!$V$28</f>
        <v>467.43501392932689</v>
      </c>
      <c r="M6" s="35">
        <f>+'[2]Colector Gral Lagos I-V'!$U$28</f>
        <v>0.95903201569189689</v>
      </c>
      <c r="N6" s="44"/>
      <c r="O6" s="34">
        <f>+'[2]Colector Gral Lagos I-V'!$Y$28</f>
        <v>5.3132368759909676</v>
      </c>
      <c r="P6" s="34">
        <f>+M6*$P$4</f>
        <v>0.19180640313837938</v>
      </c>
      <c r="Q6" s="34">
        <f>+P6+O6</f>
        <v>5.5050432791293469</v>
      </c>
      <c r="R6" s="35">
        <f>+'[2]Colector Gral Lagos I-V'!$AA$28</f>
        <v>98.849704825921606</v>
      </c>
      <c r="S6" s="57">
        <f>+R6+Q6</f>
        <v>104.35474810505096</v>
      </c>
      <c r="U6" s="46">
        <f>+G6</f>
        <v>104.35474810505096</v>
      </c>
      <c r="V6" s="34">
        <f>+U6-S6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319.50170492127592</v>
      </c>
      <c r="D7" s="3">
        <f t="shared" si="0"/>
        <v>319.50170492127592</v>
      </c>
      <c r="E7" s="3">
        <f t="shared" ref="E7:F21" si="4">+E6</f>
        <v>1.6272088212642952</v>
      </c>
      <c r="F7" s="3">
        <f t="shared" si="4"/>
        <v>499.99999999999989</v>
      </c>
      <c r="G7" s="3">
        <f>+'[3]Colector Gral Lagos I-V'!$AB$28</f>
        <v>107.46913340552045</v>
      </c>
      <c r="H7" s="3">
        <f t="shared" si="1"/>
        <v>212.03257151575548</v>
      </c>
      <c r="K7" s="56">
        <f t="shared" ref="K7:K21" si="5">+B7</f>
        <v>2023</v>
      </c>
      <c r="L7" s="9">
        <f>+'[3]Colector Gral Lagos I-V'!$V$28</f>
        <v>471.21999464508616</v>
      </c>
      <c r="M7" s="35">
        <f>+'[3]Colector Gral Lagos I-V'!$U$28</f>
        <v>0.9892922326447644</v>
      </c>
      <c r="N7" s="44"/>
      <c r="O7" s="34">
        <f>+'[3]Colector Gral Lagos I-V'!$Y$28</f>
        <v>5.405706710385469</v>
      </c>
      <c r="P7" s="34">
        <f t="shared" ref="P7:P21" si="6">+M7*$P$4</f>
        <v>0.1978584465289529</v>
      </c>
      <c r="Q7" s="34">
        <f t="shared" ref="Q7:Q21" si="7">+P7+O7</f>
        <v>5.6035651569144216</v>
      </c>
      <c r="R7" s="35">
        <f>+'[3]Colector Gral Lagos I-V'!$AA$28</f>
        <v>101.86556824860602</v>
      </c>
      <c r="S7" s="57">
        <f t="shared" ref="S7:S21" si="8">+R7+Q7</f>
        <v>107.46913340552045</v>
      </c>
      <c r="U7" s="46">
        <f t="shared" ref="U7:U21" si="9">+G7</f>
        <v>107.46913340552045</v>
      </c>
      <c r="V7" s="34">
        <f t="shared" ref="V7:V21" si="10">+U7-S7</f>
        <v>0</v>
      </c>
    </row>
    <row r="8" spans="1:22" x14ac:dyDescent="0.3">
      <c r="B8" s="2">
        <f t="shared" si="2"/>
        <v>2024</v>
      </c>
      <c r="C8" s="3">
        <f t="shared" si="3"/>
        <v>319.50170492127592</v>
      </c>
      <c r="D8" s="3">
        <f t="shared" si="0"/>
        <v>319.50170492127592</v>
      </c>
      <c r="E8" s="3">
        <f t="shared" si="4"/>
        <v>1.6272088212642952</v>
      </c>
      <c r="F8" s="3">
        <f t="shared" si="4"/>
        <v>499.99999999999989</v>
      </c>
      <c r="G8" s="3">
        <f>+'[4]Colector Gral Lagos I-V'!$AB$28</f>
        <v>109.79249263220018</v>
      </c>
      <c r="H8" s="3">
        <f t="shared" si="1"/>
        <v>209.70921228907574</v>
      </c>
      <c r="K8" s="56">
        <f t="shared" si="5"/>
        <v>2024</v>
      </c>
      <c r="L8" s="9">
        <f>+'[4]Colector Gral Lagos I-V'!$V$28</f>
        <v>475.02235360104635</v>
      </c>
      <c r="M8" s="35">
        <f>+'[4]Colector Gral Lagos I-V'!$U$28</f>
        <v>1.0121718314651771</v>
      </c>
      <c r="N8" s="44"/>
      <c r="O8" s="34">
        <f>+'[4]Colector Gral Lagos I-V'!$Y$28</f>
        <v>5.4738590289510203</v>
      </c>
      <c r="P8" s="34">
        <f t="shared" si="6"/>
        <v>0.20243436629303543</v>
      </c>
      <c r="Q8" s="34">
        <f t="shared" si="7"/>
        <v>5.6762933952440555</v>
      </c>
      <c r="R8" s="35">
        <f>+'[4]Colector Gral Lagos I-V'!$AA$28</f>
        <v>104.11619923695612</v>
      </c>
      <c r="S8" s="57">
        <f t="shared" si="8"/>
        <v>109.79249263220018</v>
      </c>
      <c r="U8" s="46">
        <f t="shared" si="9"/>
        <v>109.79249263220018</v>
      </c>
      <c r="V8" s="34">
        <f t="shared" si="10"/>
        <v>0</v>
      </c>
    </row>
    <row r="9" spans="1:22" x14ac:dyDescent="0.3">
      <c r="B9" s="2">
        <f t="shared" si="2"/>
        <v>2025</v>
      </c>
      <c r="C9" s="3">
        <f t="shared" si="3"/>
        <v>319.50170492127592</v>
      </c>
      <c r="D9" s="3">
        <f t="shared" si="0"/>
        <v>319.50170492127592</v>
      </c>
      <c r="E9" s="3">
        <f t="shared" si="4"/>
        <v>1.6272088212642952</v>
      </c>
      <c r="F9" s="3">
        <f t="shared" si="4"/>
        <v>499.99999999999989</v>
      </c>
      <c r="G9" s="3">
        <f>+'[5]Colector Gral Lagos I-V'!$AB$28</f>
        <v>112.12257698175047</v>
      </c>
      <c r="H9" s="3">
        <f t="shared" si="1"/>
        <v>207.37912793952546</v>
      </c>
      <c r="K9" s="56">
        <f t="shared" si="5"/>
        <v>2025</v>
      </c>
      <c r="L9" s="9">
        <f>+'[5]Colector Gral Lagos I-V'!$V$28</f>
        <v>478.83861514916725</v>
      </c>
      <c r="M9" s="35">
        <f>+'[5]Colector Gral Lagos I-V'!$U$28</f>
        <v>1.0351541846616912</v>
      </c>
      <c r="N9" s="44"/>
      <c r="O9" s="34">
        <f>+'[5]Colector Gral Lagos I-V'!$Y$28</f>
        <v>5.5425357773202872</v>
      </c>
      <c r="P9" s="34">
        <f t="shared" si="6"/>
        <v>0.20703083693233826</v>
      </c>
      <c r="Q9" s="34">
        <f t="shared" si="7"/>
        <v>5.7495666142526254</v>
      </c>
      <c r="R9" s="35">
        <f>+'[5]Colector Gral Lagos I-V'!$AA$28</f>
        <v>106.37301036749784</v>
      </c>
      <c r="S9" s="57">
        <f t="shared" si="8"/>
        <v>112.12257698175047</v>
      </c>
      <c r="U9" s="46">
        <f t="shared" si="9"/>
        <v>112.12257698175047</v>
      </c>
      <c r="V9" s="34">
        <f t="shared" si="10"/>
        <v>0</v>
      </c>
    </row>
    <row r="10" spans="1:22" x14ac:dyDescent="0.3">
      <c r="B10" s="2">
        <f t="shared" si="2"/>
        <v>2026</v>
      </c>
      <c r="C10" s="3">
        <f t="shared" si="3"/>
        <v>319.50170492127592</v>
      </c>
      <c r="D10" s="3">
        <f t="shared" si="0"/>
        <v>319.50170492127592</v>
      </c>
      <c r="E10" s="3">
        <f t="shared" si="4"/>
        <v>1.6272088212642952</v>
      </c>
      <c r="F10" s="3">
        <f t="shared" si="4"/>
        <v>499.99999999999989</v>
      </c>
      <c r="G10" s="3">
        <f>+'[6]Colector Gral Lagos I-V'!$AB$28</f>
        <v>114.47683404708418</v>
      </c>
      <c r="H10" s="3">
        <f t="shared" si="1"/>
        <v>205.02487087419172</v>
      </c>
      <c r="K10" s="56">
        <f t="shared" si="5"/>
        <v>2026</v>
      </c>
      <c r="L10" s="9">
        <f>+'[6]Colector Gral Lagos I-V'!$V$28</f>
        <v>482.67573058552927</v>
      </c>
      <c r="M10" s="35">
        <f>+'[6]Colector Gral Lagos I-V'!$U$28</f>
        <v>1.0584056803503223</v>
      </c>
      <c r="N10" s="44"/>
      <c r="O10" s="34">
        <f>+'[6]Colector Gral Lagos I-V'!$Y$28</f>
        <v>5.6122771250419419</v>
      </c>
      <c r="P10" s="34">
        <f t="shared" si="6"/>
        <v>0.21168113607006447</v>
      </c>
      <c r="Q10" s="34">
        <f t="shared" si="7"/>
        <v>5.823958261112006</v>
      </c>
      <c r="R10" s="35">
        <f>+'[6]Colector Gral Lagos I-V'!$AA$28</f>
        <v>108.65287578597217</v>
      </c>
      <c r="S10" s="57">
        <f t="shared" si="8"/>
        <v>114.47683404708418</v>
      </c>
      <c r="U10" s="46">
        <f t="shared" si="9"/>
        <v>114.47683404708418</v>
      </c>
      <c r="V10" s="34">
        <f t="shared" si="10"/>
        <v>0</v>
      </c>
    </row>
    <row r="11" spans="1:22" x14ac:dyDescent="0.3">
      <c r="B11" s="2">
        <f t="shared" si="2"/>
        <v>2027</v>
      </c>
      <c r="C11" s="3">
        <f t="shared" si="3"/>
        <v>319.50170492127592</v>
      </c>
      <c r="D11" s="3">
        <f t="shared" si="0"/>
        <v>319.50170492127592</v>
      </c>
      <c r="E11" s="3">
        <f t="shared" si="4"/>
        <v>1.6272088212642952</v>
      </c>
      <c r="F11" s="3">
        <f t="shared" si="4"/>
        <v>499.99999999999989</v>
      </c>
      <c r="G11" s="3">
        <f>+'[7]Colector Gral Lagos I-V'!$AB$28</f>
        <v>116.85086843767417</v>
      </c>
      <c r="H11" s="3">
        <f t="shared" si="1"/>
        <v>202.65083648360175</v>
      </c>
      <c r="K11" s="56">
        <f t="shared" si="5"/>
        <v>2027</v>
      </c>
      <c r="L11" s="9">
        <f>+'[7]Colector Gral Lagos I-V'!$V$28</f>
        <v>486.53022426209213</v>
      </c>
      <c r="M11" s="35">
        <f>+'[7]Colector Gral Lagos I-V'!$U$28</f>
        <v>1.0818845227000422</v>
      </c>
      <c r="N11" s="44"/>
      <c r="O11" s="34">
        <f>+'[7]Colector Gral Lagos I-V'!$Y$28</f>
        <v>5.6829514744754208</v>
      </c>
      <c r="P11" s="34">
        <f t="shared" si="6"/>
        <v>0.21637690454000846</v>
      </c>
      <c r="Q11" s="34">
        <f t="shared" si="7"/>
        <v>5.8993283790154294</v>
      </c>
      <c r="R11" s="35">
        <f>+'[7]Colector Gral Lagos I-V'!$AA$28</f>
        <v>110.95154005865874</v>
      </c>
      <c r="S11" s="57">
        <f t="shared" si="8"/>
        <v>116.85086843767417</v>
      </c>
      <c r="U11" s="46">
        <f t="shared" si="9"/>
        <v>116.85086843767417</v>
      </c>
      <c r="V11" s="34">
        <f t="shared" si="10"/>
        <v>0</v>
      </c>
    </row>
    <row r="12" spans="1:22" x14ac:dyDescent="0.3">
      <c r="B12" s="2">
        <f t="shared" si="2"/>
        <v>2028</v>
      </c>
      <c r="C12" s="3">
        <f t="shared" si="3"/>
        <v>319.50170492127592</v>
      </c>
      <c r="D12" s="3">
        <f t="shared" si="0"/>
        <v>319.50170492127592</v>
      </c>
      <c r="E12" s="3">
        <f t="shared" si="4"/>
        <v>1.6272088212642952</v>
      </c>
      <c r="F12" s="3">
        <f t="shared" si="4"/>
        <v>499.99999999999989</v>
      </c>
      <c r="G12" s="3">
        <f>+'[8]Colector Gral Lagos I-V'!$AB$28</f>
        <v>119.25376046002725</v>
      </c>
      <c r="H12" s="3">
        <f t="shared" si="1"/>
        <v>200.24794446124866</v>
      </c>
      <c r="K12" s="56">
        <f t="shared" si="5"/>
        <v>2028</v>
      </c>
      <c r="L12" s="9">
        <f>+'[8]Colector Gral Lagos I-V'!$V$28</f>
        <v>490.40557182689616</v>
      </c>
      <c r="M12" s="35">
        <f>+'[8]Colector Gral Lagos I-V'!$U$28</f>
        <v>1.1056778761441186</v>
      </c>
      <c r="N12" s="44"/>
      <c r="O12" s="34">
        <f>+'[8]Colector Gral Lagos I-V'!$Y$28</f>
        <v>5.7548450330426402</v>
      </c>
      <c r="P12" s="34">
        <f t="shared" si="6"/>
        <v>0.22113557522882374</v>
      </c>
      <c r="Q12" s="34">
        <f t="shared" si="7"/>
        <v>5.9759806082714642</v>
      </c>
      <c r="R12" s="35">
        <f>+'[8]Colector Gral Lagos I-V'!$AA$28</f>
        <v>113.27777985175578</v>
      </c>
      <c r="S12" s="57">
        <f t="shared" si="8"/>
        <v>119.25376046002725</v>
      </c>
      <c r="U12" s="46">
        <f t="shared" si="9"/>
        <v>119.25376046002725</v>
      </c>
      <c r="V12" s="34">
        <f t="shared" si="10"/>
        <v>0</v>
      </c>
    </row>
    <row r="13" spans="1:22" x14ac:dyDescent="0.3">
      <c r="B13" s="2">
        <f t="shared" si="2"/>
        <v>2029</v>
      </c>
      <c r="C13" s="3">
        <f t="shared" si="3"/>
        <v>319.50170492127592</v>
      </c>
      <c r="D13" s="3">
        <f t="shared" si="0"/>
        <v>319.50170492127592</v>
      </c>
      <c r="E13" s="3">
        <f t="shared" si="4"/>
        <v>1.6272088212642952</v>
      </c>
      <c r="F13" s="3">
        <f t="shared" si="4"/>
        <v>499.99999999999989</v>
      </c>
      <c r="G13" s="3">
        <f>+'[9]Colector Gral Lagos I-V'!$AB$28</f>
        <v>121.6624945727574</v>
      </c>
      <c r="H13" s="3">
        <f t="shared" si="1"/>
        <v>197.83921034851852</v>
      </c>
      <c r="K13" s="56">
        <f t="shared" si="5"/>
        <v>2029</v>
      </c>
      <c r="L13" s="9">
        <f>+'[9]Colector Gral Lagos I-V'!$V$28</f>
        <v>494.29482198386091</v>
      </c>
      <c r="M13" s="35">
        <f>+'[9]Colector Gral Lagos I-V'!$U$28</f>
        <v>1.1295671166083732</v>
      </c>
      <c r="N13" s="44"/>
      <c r="O13" s="34">
        <f>+'[9]Colector Gral Lagos I-V'!$Y$28</f>
        <v>5.8272379508439247</v>
      </c>
      <c r="P13" s="34">
        <f t="shared" si="6"/>
        <v>0.22591342332167463</v>
      </c>
      <c r="Q13" s="34">
        <f t="shared" si="7"/>
        <v>6.0531513741655996</v>
      </c>
      <c r="R13" s="35">
        <f>+'[9]Colector Gral Lagos I-V'!$AA$28</f>
        <v>115.6093431985918</v>
      </c>
      <c r="S13" s="57">
        <f>+R13+Q13</f>
        <v>121.6624945727574</v>
      </c>
      <c r="U13" s="46">
        <f t="shared" si="9"/>
        <v>121.6624945727574</v>
      </c>
      <c r="V13" s="34">
        <f t="shared" si="10"/>
        <v>0</v>
      </c>
    </row>
    <row r="14" spans="1:22" x14ac:dyDescent="0.3">
      <c r="B14" s="2">
        <f t="shared" si="2"/>
        <v>2030</v>
      </c>
      <c r="C14" s="3">
        <f t="shared" si="3"/>
        <v>319.50170492127592</v>
      </c>
      <c r="D14" s="3">
        <f t="shared" si="0"/>
        <v>319.50170492127592</v>
      </c>
      <c r="E14" s="3">
        <f t="shared" si="4"/>
        <v>1.6272088212642952</v>
      </c>
      <c r="F14" s="3">
        <f t="shared" si="4"/>
        <v>499.99999999999989</v>
      </c>
      <c r="G14" s="3">
        <f>+'[10]Colector Gral Lagos I-V'!$AB$28</f>
        <v>124.09547008726247</v>
      </c>
      <c r="H14" s="3">
        <f t="shared" si="1"/>
        <v>195.40623483401345</v>
      </c>
      <c r="K14" s="56">
        <f t="shared" si="5"/>
        <v>2030</v>
      </c>
      <c r="L14" s="9">
        <f>+'[10]Colector Gral Lagos I-V'!$V$28</f>
        <v>498.20492602906677</v>
      </c>
      <c r="M14" s="35">
        <f>+'[10]Colector Gral Lagos I-V'!$U$28</f>
        <v>1.1537283103751419</v>
      </c>
      <c r="N14" s="44"/>
      <c r="O14" s="34">
        <f>+'[10]Colector Gral Lagos I-V'!$Y$28</f>
        <v>5.9007078060257125</v>
      </c>
      <c r="P14" s="34">
        <f t="shared" si="6"/>
        <v>0.23074566207502839</v>
      </c>
      <c r="Q14" s="34">
        <f t="shared" si="7"/>
        <v>6.1314534681007409</v>
      </c>
      <c r="R14" s="35">
        <f>+'[10]Colector Gral Lagos I-V'!$AA$28</f>
        <v>117.96401661916173</v>
      </c>
      <c r="S14" s="57">
        <f>+R14+Q14</f>
        <v>124.09547008726247</v>
      </c>
      <c r="U14" s="46">
        <f t="shared" si="9"/>
        <v>124.09547008726247</v>
      </c>
      <c r="V14" s="34">
        <f t="shared" si="10"/>
        <v>0</v>
      </c>
    </row>
    <row r="15" spans="1:22" x14ac:dyDescent="0.3">
      <c r="B15" s="2">
        <f t="shared" si="2"/>
        <v>2031</v>
      </c>
      <c r="C15" s="3">
        <f t="shared" si="3"/>
        <v>319.50170492127592</v>
      </c>
      <c r="D15" s="3">
        <f t="shared" si="0"/>
        <v>319.50170492127592</v>
      </c>
      <c r="E15" s="3">
        <f t="shared" si="4"/>
        <v>1.6272088212642952</v>
      </c>
      <c r="F15" s="3">
        <f t="shared" si="4"/>
        <v>499.99999999999989</v>
      </c>
      <c r="G15" s="3">
        <f>+'[11]Colector Gral Lagos I-V'!$AB$28</f>
        <v>126.54790349005748</v>
      </c>
      <c r="H15" s="3">
        <f t="shared" si="1"/>
        <v>192.95380143121844</v>
      </c>
      <c r="K15" s="56">
        <f t="shared" si="5"/>
        <v>2031</v>
      </c>
      <c r="L15" s="9">
        <f>+'[11]Colector Gral Lagos I-V'!$V$28</f>
        <v>502.13588396251373</v>
      </c>
      <c r="M15" s="35">
        <f>+'[11]Colector Gral Lagos I-V'!$U$28</f>
        <v>1.1781168508029995</v>
      </c>
      <c r="N15" s="44"/>
      <c r="O15" s="34">
        <f>+'[11]Colector Gral Lagos I-V'!$Y$28</f>
        <v>5.9751050919248563</v>
      </c>
      <c r="P15" s="34">
        <f t="shared" si="6"/>
        <v>0.23562337016059992</v>
      </c>
      <c r="Q15" s="34">
        <f t="shared" si="7"/>
        <v>6.2107284620854566</v>
      </c>
      <c r="R15" s="35">
        <f>+'[11]Colector Gral Lagos I-V'!$AA$28</f>
        <v>120.33717502797202</v>
      </c>
      <c r="S15" s="57">
        <f t="shared" si="8"/>
        <v>126.54790349005748</v>
      </c>
      <c r="U15" s="46">
        <f t="shared" si="9"/>
        <v>126.54790349005748</v>
      </c>
      <c r="V15" s="34">
        <f t="shared" si="10"/>
        <v>0</v>
      </c>
    </row>
    <row r="16" spans="1:22" x14ac:dyDescent="0.3">
      <c r="B16" s="2">
        <f t="shared" si="2"/>
        <v>2032</v>
      </c>
      <c r="C16" s="3">
        <f t="shared" si="3"/>
        <v>319.50170492127592</v>
      </c>
      <c r="D16" s="3">
        <f t="shared" si="0"/>
        <v>319.50170492127592</v>
      </c>
      <c r="E16" s="3">
        <f t="shared" si="4"/>
        <v>1.6272088212642952</v>
      </c>
      <c r="F16" s="3">
        <f t="shared" si="4"/>
        <v>499.99999999999989</v>
      </c>
      <c r="G16" s="3">
        <f>+'[12]Colector Gral Lagos I-V'!$AB$28</f>
        <v>129.02937605797686</v>
      </c>
      <c r="H16" s="3">
        <f t="shared" si="1"/>
        <v>190.47232886329905</v>
      </c>
      <c r="K16" s="56">
        <f t="shared" si="5"/>
        <v>2032</v>
      </c>
      <c r="L16" s="9">
        <f>+'[12]Colector Gral Lagos I-V'!$V$28</f>
        <v>506.08769578420174</v>
      </c>
      <c r="M16" s="35">
        <f>+'[12]Colector Gral Lagos I-V'!$U$28</f>
        <v>1.202823958870739</v>
      </c>
      <c r="N16" s="44"/>
      <c r="O16" s="34">
        <f>+'[12]Colector Gral Lagos I-V'!$Y$28</f>
        <v>6.0507392612057735</v>
      </c>
      <c r="P16" s="34">
        <f t="shared" si="6"/>
        <v>0.2405647917741478</v>
      </c>
      <c r="Q16" s="34">
        <f t="shared" si="7"/>
        <v>6.2913040529799211</v>
      </c>
      <c r="R16" s="35">
        <f>+'[12]Colector Gral Lagos I-V'!$AA$28</f>
        <v>122.73807200499695</v>
      </c>
      <c r="S16" s="57">
        <f t="shared" si="8"/>
        <v>129.02937605797686</v>
      </c>
      <c r="U16" s="46">
        <f t="shared" si="9"/>
        <v>129.02937605797686</v>
      </c>
      <c r="V16" s="34">
        <f t="shared" si="10"/>
        <v>0</v>
      </c>
    </row>
    <row r="17" spans="2:22" x14ac:dyDescent="0.3">
      <c r="B17" s="2">
        <f t="shared" si="2"/>
        <v>2033</v>
      </c>
      <c r="C17" s="3">
        <f t="shared" si="3"/>
        <v>319.50170492127592</v>
      </c>
      <c r="D17" s="3">
        <f t="shared" si="0"/>
        <v>319.50170492127592</v>
      </c>
      <c r="E17" s="3">
        <f t="shared" si="4"/>
        <v>1.6272088212642952</v>
      </c>
      <c r="F17" s="3">
        <f t="shared" si="4"/>
        <v>499.99999999999989</v>
      </c>
      <c r="G17" s="3">
        <f>+'[13]Colector Gral Lagos I-V'!$AB$28</f>
        <v>131.51546647134685</v>
      </c>
      <c r="H17" s="3">
        <f t="shared" si="1"/>
        <v>187.98623844992906</v>
      </c>
      <c r="K17" s="56">
        <f t="shared" si="5"/>
        <v>2033</v>
      </c>
      <c r="L17" s="9">
        <f>+'[13]Colector Gral Lagos I-V'!$V$28</f>
        <v>510.06383714217111</v>
      </c>
      <c r="M17" s="35">
        <f>+'[13]Colector Gral Lagos I-V'!$U$28</f>
        <v>1.227620086602734</v>
      </c>
      <c r="N17" s="44"/>
      <c r="O17" s="34">
        <f>+'[13]Colector Gral Lagos I-V'!$Y$28</f>
        <v>6.1268263056401677</v>
      </c>
      <c r="P17" s="34">
        <f t="shared" si="6"/>
        <v>0.24552401732054682</v>
      </c>
      <c r="Q17" s="34">
        <f t="shared" si="7"/>
        <v>6.3723503229607141</v>
      </c>
      <c r="R17" s="35">
        <f>+'[13]Colector Gral Lagos I-V'!$AA$28</f>
        <v>125.14311614838614</v>
      </c>
      <c r="S17" s="57">
        <f t="shared" si="8"/>
        <v>131.51546647134685</v>
      </c>
      <c r="U17" s="46">
        <f t="shared" si="9"/>
        <v>131.51546647134685</v>
      </c>
      <c r="V17" s="34">
        <f t="shared" si="10"/>
        <v>0</v>
      </c>
    </row>
    <row r="18" spans="2:22" x14ac:dyDescent="0.3">
      <c r="B18" s="2">
        <f t="shared" si="2"/>
        <v>2034</v>
      </c>
      <c r="C18" s="3">
        <f t="shared" si="3"/>
        <v>319.50170492127592</v>
      </c>
      <c r="D18" s="3">
        <f t="shared" si="0"/>
        <v>319.50170492127592</v>
      </c>
      <c r="E18" s="3">
        <f t="shared" si="4"/>
        <v>1.6272088212642952</v>
      </c>
      <c r="F18" s="3">
        <f t="shared" si="4"/>
        <v>499.99999999999989</v>
      </c>
      <c r="G18" s="3">
        <f>+'[14]Colector Gral Lagos I-V'!$AB$28</f>
        <v>134.02609333195136</v>
      </c>
      <c r="H18" s="3">
        <f t="shared" si="1"/>
        <v>185.47561158932456</v>
      </c>
      <c r="K18" s="56">
        <f t="shared" si="5"/>
        <v>2034</v>
      </c>
      <c r="L18" s="9">
        <f>+'[14]Colector Gral Lagos I-V'!$V$28</f>
        <v>514.05388109230114</v>
      </c>
      <c r="M18" s="35">
        <f>+'[14]Colector Gral Lagos I-V'!$U$28</f>
        <v>1.2526909784476403</v>
      </c>
      <c r="N18" s="44"/>
      <c r="O18" s="34">
        <f>+'[14]Colector Gral Lagos I-V'!$Y$28</f>
        <v>6.2040165164757664</v>
      </c>
      <c r="P18" s="34">
        <f t="shared" si="6"/>
        <v>0.25053819568952806</v>
      </c>
      <c r="Q18" s="34">
        <f t="shared" si="7"/>
        <v>6.4545547121652946</v>
      </c>
      <c r="R18" s="35">
        <f>+'[14]Colector Gral Lagos I-V'!$AA$28</f>
        <v>127.57153861978605</v>
      </c>
      <c r="S18" s="57">
        <f t="shared" si="8"/>
        <v>134.02609333195136</v>
      </c>
      <c r="U18" s="46">
        <f t="shared" si="9"/>
        <v>134.02609333195136</v>
      </c>
      <c r="V18" s="34">
        <f t="shared" si="10"/>
        <v>0</v>
      </c>
    </row>
    <row r="19" spans="2:22" x14ac:dyDescent="0.3">
      <c r="B19" s="2">
        <f t="shared" si="2"/>
        <v>2035</v>
      </c>
      <c r="C19" s="3">
        <f t="shared" si="3"/>
        <v>319.50170492127592</v>
      </c>
      <c r="D19" s="3">
        <f t="shared" si="0"/>
        <v>319.50170492127592</v>
      </c>
      <c r="E19" s="3">
        <f t="shared" si="4"/>
        <v>1.6272088212642952</v>
      </c>
      <c r="F19" s="3">
        <f t="shared" si="4"/>
        <v>499.99999999999989</v>
      </c>
      <c r="G19" s="3">
        <f>+'[15]Colector Gral Lagos I-V'!$AB$28</f>
        <v>136.55572760865456</v>
      </c>
      <c r="H19" s="3">
        <f t="shared" si="1"/>
        <v>182.94597731262135</v>
      </c>
      <c r="K19" s="56">
        <f t="shared" si="5"/>
        <v>2035</v>
      </c>
      <c r="L19" s="9">
        <f>+'[15]Colector Gral Lagos I-V'!$V$28</f>
        <v>518.07173022675261</v>
      </c>
      <c r="M19" s="35">
        <f>+'[15]Colector Gral Lagos I-V'!$U$28</f>
        <v>1.2779892169536353</v>
      </c>
      <c r="N19" s="44"/>
      <c r="O19" s="34">
        <f>+'[15]Colector Gral Lagos I-V'!$Y$28</f>
        <v>6.2821217266594234</v>
      </c>
      <c r="P19" s="34">
        <f t="shared" si="6"/>
        <v>0.25559784339072705</v>
      </c>
      <c r="Q19" s="34">
        <f t="shared" si="7"/>
        <v>6.5377195700501503</v>
      </c>
      <c r="R19" s="35">
        <f>+'[15]Colector Gral Lagos I-V'!$AA$28</f>
        <v>130.01800803860442</v>
      </c>
      <c r="S19" s="57">
        <f t="shared" si="8"/>
        <v>136.55572760865456</v>
      </c>
      <c r="U19" s="46">
        <f t="shared" si="9"/>
        <v>136.55572760865456</v>
      </c>
      <c r="V19" s="34">
        <f t="shared" si="10"/>
        <v>0</v>
      </c>
    </row>
    <row r="20" spans="2:22" x14ac:dyDescent="0.3">
      <c r="B20" s="2">
        <f t="shared" si="2"/>
        <v>2036</v>
      </c>
      <c r="C20" s="3">
        <f t="shared" si="3"/>
        <v>319.50170492127592</v>
      </c>
      <c r="D20" s="3">
        <f t="shared" si="0"/>
        <v>319.50170492127592</v>
      </c>
      <c r="E20" s="3">
        <f t="shared" si="4"/>
        <v>1.6272088212642952</v>
      </c>
      <c r="F20" s="3">
        <f t="shared" si="4"/>
        <v>499.99999999999989</v>
      </c>
      <c r="G20" s="3">
        <f>+'[16]Colector Gral Lagos I-V'!$AB$28</f>
        <v>139.11469633697442</v>
      </c>
      <c r="H20" s="3">
        <f t="shared" si="1"/>
        <v>180.3870085843015</v>
      </c>
      <c r="K20" s="56">
        <f t="shared" si="5"/>
        <v>2036</v>
      </c>
      <c r="L20" s="9">
        <f>+'[16]Colector Gral Lagos I-V'!$V$28</f>
        <v>522.10695760140504</v>
      </c>
      <c r="M20" s="35">
        <f>+'[16]Colector Gral Lagos I-V'!$U$28</f>
        <v>1.3036100796450392</v>
      </c>
      <c r="N20" s="44"/>
      <c r="O20" s="34">
        <f>+'[16]Colector Gral Lagos I-V'!$Y$28</f>
        <v>6.3614883135385778</v>
      </c>
      <c r="P20" s="34">
        <f t="shared" si="6"/>
        <v>0.26072201592900784</v>
      </c>
      <c r="Q20" s="34">
        <f t="shared" si="7"/>
        <v>6.6222103294675856</v>
      </c>
      <c r="R20" s="35">
        <f>+'[16]Colector Gral Lagos I-V'!$AA$28</f>
        <v>132.49248600750684</v>
      </c>
      <c r="S20" s="57">
        <f t="shared" si="8"/>
        <v>139.11469633697442</v>
      </c>
      <c r="U20" s="46">
        <f t="shared" si="9"/>
        <v>139.11469633697442</v>
      </c>
      <c r="V20" s="34">
        <f t="shared" si="10"/>
        <v>0</v>
      </c>
    </row>
    <row r="21" spans="2:22" ht="13.8" thickBot="1" x14ac:dyDescent="0.35">
      <c r="B21" s="2">
        <f t="shared" si="2"/>
        <v>2037</v>
      </c>
      <c r="C21" s="3">
        <f t="shared" si="3"/>
        <v>319.50170492127592</v>
      </c>
      <c r="D21" s="3">
        <f t="shared" si="0"/>
        <v>319.50170492127592</v>
      </c>
      <c r="E21" s="3">
        <f t="shared" si="4"/>
        <v>1.6272088212642952</v>
      </c>
      <c r="F21" s="3">
        <f t="shared" si="4"/>
        <v>499.99999999999989</v>
      </c>
      <c r="G21" s="3">
        <f>+'[17]Colector Gral Lagos I-V'!$AB$28</f>
        <v>141.67739398387408</v>
      </c>
      <c r="H21" s="3">
        <f t="shared" si="1"/>
        <v>177.82431093740183</v>
      </c>
      <c r="I21" s="13">
        <f>+G21/G6-1</f>
        <v>0.35765163115770715</v>
      </c>
      <c r="K21" s="58">
        <f t="shared" si="5"/>
        <v>2037</v>
      </c>
      <c r="L21" s="59">
        <f>+'[17]Colector Gral Lagos I-V'!$V$28</f>
        <v>526.16651451233884</v>
      </c>
      <c r="M21" s="65">
        <f>+'[17]Colector Gral Lagos I-V'!$U$28</f>
        <v>1.3293130946447744</v>
      </c>
      <c r="N21" s="61"/>
      <c r="O21" s="60">
        <f>+'[17]Colector Gral Lagos I-V'!$Y$28</f>
        <v>6.4412821835947192</v>
      </c>
      <c r="P21" s="60">
        <f t="shared" si="6"/>
        <v>0.26586261892895491</v>
      </c>
      <c r="Q21" s="60">
        <f t="shared" si="7"/>
        <v>6.7071448025236737</v>
      </c>
      <c r="R21" s="65">
        <f>+'[17]Colector Gral Lagos I-V'!$AA$28</f>
        <v>134.9702491813504</v>
      </c>
      <c r="S21" s="62">
        <f t="shared" si="8"/>
        <v>141.67739398387408</v>
      </c>
      <c r="U21" s="46">
        <f t="shared" si="9"/>
        <v>141.67739398387408</v>
      </c>
      <c r="V21" s="34">
        <f t="shared" si="10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E67"/>
  <sheetViews>
    <sheetView showGridLines="0" tabSelected="1" zoomScale="85" zoomScaleNormal="90" workbookViewId="0">
      <selection activeCell="G9" sqref="G9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1" ht="13.8" thickBot="1" x14ac:dyDescent="0.35"/>
    <row r="2" spans="1:31" x14ac:dyDescent="0.3">
      <c r="B2" s="5" t="s">
        <v>69</v>
      </c>
      <c r="E2" s="6" t="s">
        <v>7</v>
      </c>
      <c r="F2" s="7">
        <f>+'[17]Colector Krahmer II'!$N$19</f>
        <v>270.64</v>
      </c>
      <c r="G2" s="8" t="s">
        <v>8</v>
      </c>
      <c r="T2" s="47"/>
      <c r="U2" s="48" t="s">
        <v>98</v>
      </c>
      <c r="V2" s="49"/>
      <c r="W2" s="49"/>
      <c r="X2" s="49"/>
      <c r="Y2" s="49"/>
      <c r="Z2" s="49"/>
      <c r="AA2" s="49"/>
      <c r="AB2" s="50"/>
    </row>
    <row r="3" spans="1:31" x14ac:dyDescent="0.3">
      <c r="B3" s="8" t="s">
        <v>85</v>
      </c>
      <c r="T3" s="51"/>
      <c r="U3" s="42" t="s">
        <v>149</v>
      </c>
      <c r="W3" s="12" t="s">
        <v>152</v>
      </c>
      <c r="AB3" s="52"/>
    </row>
    <row r="4" spans="1:3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T4" s="51"/>
      <c r="Y4" s="53">
        <v>0.2</v>
      </c>
      <c r="AA4" s="43" t="s">
        <v>94</v>
      </c>
      <c r="AB4" s="52"/>
    </row>
    <row r="5" spans="1:31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"/>
      <c r="T5" s="54" t="s">
        <v>0</v>
      </c>
      <c r="U5" s="45" t="s">
        <v>90</v>
      </c>
      <c r="V5" s="45" t="s">
        <v>99</v>
      </c>
      <c r="W5" s="45" t="s">
        <v>91</v>
      </c>
      <c r="X5" s="45" t="s">
        <v>92</v>
      </c>
      <c r="Y5" s="45" t="s">
        <v>93</v>
      </c>
      <c r="Z5" s="45" t="s">
        <v>100</v>
      </c>
      <c r="AA5" s="45"/>
      <c r="AB5" s="55" t="s">
        <v>101</v>
      </c>
      <c r="AC5" s="45"/>
      <c r="AD5" s="45" t="s">
        <v>92</v>
      </c>
      <c r="AE5" s="45" t="s">
        <v>97</v>
      </c>
    </row>
    <row r="6" spans="1:31" x14ac:dyDescent="0.3">
      <c r="A6" s="12" t="s">
        <v>6</v>
      </c>
      <c r="B6" s="2">
        <f>+'Colec Krahmer I'!B6</f>
        <v>2022</v>
      </c>
      <c r="C6" s="3">
        <f>+SUMPRODUCT('[17]Colector Krahmer II (c_Proy)'!$AL$17:$AL$19,'[17]Colector Krahmer II (c_Proy)'!$M$17:$M$19)/F2</f>
        <v>509.71249753268489</v>
      </c>
      <c r="D6" s="3">
        <f t="shared" ref="D6:D21" si="0">+C6</f>
        <v>509.71249753268489</v>
      </c>
      <c r="E6" s="3">
        <f>D6/(0.25*PI()*(F6/1000)^2)/1000</f>
        <v>0.80121741765967702</v>
      </c>
      <c r="F6" s="3">
        <f>+SUMPRODUCT('[17]Colector Krahmer II (c_Proy)'!$F$17:$F$19,'[17]Colector Krahmer II (c_Proy)'!$M$17:$M$19)/F2</f>
        <v>900</v>
      </c>
      <c r="G6" s="3">
        <f>+'[2]Colector Krahmer II'!$AB$19</f>
        <v>291.47949647895558</v>
      </c>
      <c r="H6" s="3">
        <f t="shared" ref="H6:H21" si="1">+D6-G6</f>
        <v>218.23300105372931</v>
      </c>
      <c r="L6" s="9"/>
      <c r="T6" s="56">
        <f>+B6</f>
        <v>2022</v>
      </c>
      <c r="U6" s="9">
        <f>+'[2]Colector Krahmer II'!$V$19</f>
        <v>35805.522066986443</v>
      </c>
      <c r="V6" s="34">
        <f>+'[2]Colector Krahmer II'!$U$19</f>
        <v>59.116162196112924</v>
      </c>
      <c r="W6" s="44">
        <f t="shared" ref="W6" si="2">1+(14/(4+(SQRT(U6/1000))))</f>
        <v>2.4022756748442888</v>
      </c>
      <c r="X6" s="34">
        <f t="shared" ref="X6" si="3">+W6*V6</f>
        <v>142.0133184338716</v>
      </c>
      <c r="Y6" s="34">
        <f>+V6*$Y$4</f>
        <v>11.823232439222586</v>
      </c>
      <c r="Z6" s="34">
        <f t="shared" ref="Z6" si="4">+Y6+X6</f>
        <v>153.83655087309418</v>
      </c>
      <c r="AA6" s="34">
        <f>+'[2]Colector Krahmer II'!$AA$41</f>
        <v>137.6429456058614</v>
      </c>
      <c r="AB6" s="57">
        <f>+AA6+Z6</f>
        <v>291.47949647895558</v>
      </c>
      <c r="AD6" s="46">
        <f>+G6</f>
        <v>291.47949647895558</v>
      </c>
      <c r="AE6" s="46">
        <f>+AB6-AD6</f>
        <v>0</v>
      </c>
    </row>
    <row r="7" spans="1:31" x14ac:dyDescent="0.3">
      <c r="B7" s="2">
        <f t="shared" ref="B7:B21" si="5">+B6+1</f>
        <v>2023</v>
      </c>
      <c r="C7" s="3">
        <f t="shared" ref="C7:C21" si="6">+C6</f>
        <v>509.71249753268489</v>
      </c>
      <c r="D7" s="3">
        <f t="shared" si="0"/>
        <v>509.71249753268489</v>
      </c>
      <c r="E7" s="3">
        <f t="shared" ref="E7:F21" si="7">+E6</f>
        <v>0.80121741765967702</v>
      </c>
      <c r="F7" s="3">
        <f t="shared" si="7"/>
        <v>900</v>
      </c>
      <c r="G7" s="3">
        <f>+'[3]Colector Krahmer II'!$AB$19</f>
        <v>300.10423417039965</v>
      </c>
      <c r="H7" s="3">
        <f t="shared" si="1"/>
        <v>209.60826336228524</v>
      </c>
      <c r="L7" s="9"/>
      <c r="T7" s="56">
        <f t="shared" ref="T7:T21" si="8">+B7</f>
        <v>2023</v>
      </c>
      <c r="U7" s="9">
        <f>+'[3]Colector Krahmer II'!$V$19</f>
        <v>36095.451589813601</v>
      </c>
      <c r="V7" s="34">
        <f>+'[3]Colector Krahmer II'!$U$19</f>
        <v>60.981447050221469</v>
      </c>
      <c r="W7" s="44">
        <f t="shared" ref="W7:W21" si="9">1+(14/(4+(SQRT(U7/1000))))</f>
        <v>2.3988880192193314</v>
      </c>
      <c r="X7" s="34">
        <f t="shared" ref="X7:X21" si="10">+W7*V7</f>
        <v>146.28766272343432</v>
      </c>
      <c r="Y7" s="34">
        <f t="shared" ref="Y7:Y21" si="11">+V7*$Y$4</f>
        <v>12.196289410044294</v>
      </c>
      <c r="Z7" s="34">
        <f t="shared" ref="Z7:Z21" si="12">+Y7+X7</f>
        <v>158.48395213347862</v>
      </c>
      <c r="AA7" s="34">
        <f>+'[3]Colector Krahmer II'!$AA$41</f>
        <v>141.62028203692103</v>
      </c>
      <c r="AB7" s="57">
        <f t="shared" ref="AB7:AB21" si="13">+AA7+Z7</f>
        <v>300.10423417039965</v>
      </c>
      <c r="AD7" s="46">
        <f t="shared" ref="AD7:AD21" si="14">+G7</f>
        <v>300.10423417039965</v>
      </c>
      <c r="AE7" s="46">
        <f t="shared" ref="AE7:AE21" si="15">+AB7-AD7</f>
        <v>0</v>
      </c>
    </row>
    <row r="8" spans="1:31" x14ac:dyDescent="0.3">
      <c r="B8" s="2">
        <f t="shared" si="5"/>
        <v>2024</v>
      </c>
      <c r="C8" s="3">
        <f t="shared" si="6"/>
        <v>509.71249753268489</v>
      </c>
      <c r="D8" s="3">
        <f t="shared" si="0"/>
        <v>509.71249753268489</v>
      </c>
      <c r="E8" s="3">
        <f t="shared" si="7"/>
        <v>0.80121741765967702</v>
      </c>
      <c r="F8" s="3">
        <f t="shared" si="7"/>
        <v>900</v>
      </c>
      <c r="G8" s="3">
        <f>+'[4]Colector Krahmer II'!$AB$19</f>
        <v>306.52071146994427</v>
      </c>
      <c r="H8" s="3">
        <f t="shared" si="1"/>
        <v>203.19178606274062</v>
      </c>
      <c r="L8" s="9"/>
      <c r="T8" s="56">
        <f t="shared" si="8"/>
        <v>2024</v>
      </c>
      <c r="U8" s="9">
        <f>+'[4]Colector Krahmer II'!$V$19</f>
        <v>36386.712285840149</v>
      </c>
      <c r="V8" s="34">
        <f>+'[4]Colector Krahmer II'!$U$19</f>
        <v>62.391779607131689</v>
      </c>
      <c r="W8" s="44">
        <f t="shared" si="9"/>
        <v>2.3955148233825962</v>
      </c>
      <c r="X8" s="34">
        <f t="shared" si="10"/>
        <v>149.46043290610393</v>
      </c>
      <c r="Y8" s="34">
        <f t="shared" si="11"/>
        <v>12.478355921426338</v>
      </c>
      <c r="Z8" s="34">
        <f t="shared" si="12"/>
        <v>161.93878882753026</v>
      </c>
      <c r="AA8" s="34">
        <f>+'[4]Colector Krahmer II'!$AA$41</f>
        <v>144.58192264241401</v>
      </c>
      <c r="AB8" s="57">
        <f t="shared" si="13"/>
        <v>306.52071146994427</v>
      </c>
      <c r="AD8" s="46">
        <f t="shared" si="14"/>
        <v>306.52071146994427</v>
      </c>
      <c r="AE8" s="46">
        <f t="shared" si="15"/>
        <v>0</v>
      </c>
    </row>
    <row r="9" spans="1:31" x14ac:dyDescent="0.3">
      <c r="B9" s="2">
        <f t="shared" si="5"/>
        <v>2025</v>
      </c>
      <c r="C9" s="3">
        <f t="shared" si="6"/>
        <v>509.71249753268489</v>
      </c>
      <c r="D9" s="3">
        <f t="shared" si="0"/>
        <v>509.71249753268489</v>
      </c>
      <c r="E9" s="3">
        <f t="shared" si="7"/>
        <v>0.80121741765967702</v>
      </c>
      <c r="F9" s="3">
        <f t="shared" si="7"/>
        <v>900</v>
      </c>
      <c r="G9" s="3">
        <f>+'[5]Colector Krahmer II'!$AB$19</f>
        <v>312.95388471988656</v>
      </c>
      <c r="H9" s="3">
        <f t="shared" si="1"/>
        <v>196.75861281279833</v>
      </c>
      <c r="L9" s="9"/>
      <c r="T9" s="56">
        <f t="shared" si="8"/>
        <v>2025</v>
      </c>
      <c r="U9" s="9">
        <f>+'[5]Colector Krahmer II'!$V$19</f>
        <v>36679.037920426214</v>
      </c>
      <c r="V9" s="34">
        <f>+'[5]Colector Krahmer II'!$U$19</f>
        <v>63.808446096866433</v>
      </c>
      <c r="W9" s="44">
        <f t="shared" si="9"/>
        <v>2.3921590615882913</v>
      </c>
      <c r="X9" s="34">
        <f t="shared" si="10"/>
        <v>152.63995253648707</v>
      </c>
      <c r="Y9" s="34">
        <f t="shared" si="11"/>
        <v>12.761689219373288</v>
      </c>
      <c r="Z9" s="34">
        <f t="shared" si="12"/>
        <v>165.40164175586037</v>
      </c>
      <c r="AA9" s="34">
        <f>+'[5]Colector Krahmer II'!$AA$41</f>
        <v>147.55224296402622</v>
      </c>
      <c r="AB9" s="57">
        <f t="shared" si="13"/>
        <v>312.95388471988656</v>
      </c>
      <c r="AD9" s="46">
        <f t="shared" si="14"/>
        <v>312.95388471988656</v>
      </c>
      <c r="AE9" s="46">
        <f t="shared" si="15"/>
        <v>0</v>
      </c>
    </row>
    <row r="10" spans="1:31" x14ac:dyDescent="0.3">
      <c r="B10" s="2">
        <f t="shared" si="5"/>
        <v>2026</v>
      </c>
      <c r="C10" s="3">
        <f t="shared" si="6"/>
        <v>509.71249753268489</v>
      </c>
      <c r="D10" s="3">
        <f t="shared" si="0"/>
        <v>509.71249753268489</v>
      </c>
      <c r="E10" s="3">
        <f t="shared" si="7"/>
        <v>0.80121741765967702</v>
      </c>
      <c r="F10" s="3">
        <f t="shared" si="7"/>
        <v>900</v>
      </c>
      <c r="G10" s="3">
        <f>+'[6]Colector Krahmer II'!$AB$19</f>
        <v>319.45227998542157</v>
      </c>
      <c r="H10" s="3">
        <f t="shared" si="1"/>
        <v>190.26021754726332</v>
      </c>
      <c r="L10" s="9"/>
      <c r="T10" s="56">
        <f t="shared" si="8"/>
        <v>2026</v>
      </c>
      <c r="U10" s="9">
        <f>+'[6]Colector Krahmer II'!$V$19</f>
        <v>36972.960962851539</v>
      </c>
      <c r="V10" s="34">
        <f>+'[6]Colector Krahmer II'!$U$19</f>
        <v>65.241702930778985</v>
      </c>
      <c r="W10" s="44">
        <f t="shared" si="9"/>
        <v>2.3888145530132467</v>
      </c>
      <c r="X10" s="34">
        <f t="shared" si="10"/>
        <v>155.85032942441183</v>
      </c>
      <c r="Y10" s="34">
        <f t="shared" si="11"/>
        <v>13.048340586155797</v>
      </c>
      <c r="Z10" s="34">
        <f t="shared" si="12"/>
        <v>168.89867001056763</v>
      </c>
      <c r="AA10" s="34">
        <f>+'[6]Colector Krahmer II'!$AA$41</f>
        <v>150.55360997485394</v>
      </c>
      <c r="AB10" s="57">
        <f t="shared" si="13"/>
        <v>319.45227998542157</v>
      </c>
      <c r="AD10" s="46">
        <f t="shared" si="14"/>
        <v>319.45227998542157</v>
      </c>
      <c r="AE10" s="46">
        <f t="shared" si="15"/>
        <v>0</v>
      </c>
    </row>
    <row r="11" spans="1:31" x14ac:dyDescent="0.3">
      <c r="B11" s="2">
        <f t="shared" si="5"/>
        <v>2027</v>
      </c>
      <c r="C11" s="3">
        <f t="shared" si="6"/>
        <v>509.71249753268489</v>
      </c>
      <c r="D11" s="3">
        <f t="shared" si="0"/>
        <v>509.71249753268489</v>
      </c>
      <c r="E11" s="3">
        <f t="shared" si="7"/>
        <v>0.80121741765967702</v>
      </c>
      <c r="F11" s="3">
        <f t="shared" si="7"/>
        <v>900</v>
      </c>
      <c r="G11" s="3">
        <f>+'[7]Colector Krahmer II'!$AB$19</f>
        <v>326.00369615219608</v>
      </c>
      <c r="H11" s="3">
        <f t="shared" si="1"/>
        <v>183.70880138048881</v>
      </c>
      <c r="L11" s="9"/>
      <c r="T11" s="56">
        <f t="shared" si="8"/>
        <v>2027</v>
      </c>
      <c r="U11" s="9">
        <f>+'[7]Colector Krahmer II'!$V$19</f>
        <v>37268.215178476261</v>
      </c>
      <c r="V11" s="34">
        <f>+'[7]Colector Krahmer II'!$U$19</f>
        <v>66.688973751578075</v>
      </c>
      <c r="W11" s="44">
        <f t="shared" si="9"/>
        <v>2.3854842988666345</v>
      </c>
      <c r="X11" s="34">
        <f t="shared" si="10"/>
        <v>159.08549979191861</v>
      </c>
      <c r="Y11" s="34">
        <f t="shared" si="11"/>
        <v>13.337794750315616</v>
      </c>
      <c r="Z11" s="34">
        <f t="shared" si="12"/>
        <v>172.42329454223423</v>
      </c>
      <c r="AA11" s="34">
        <f>+'[7]Colector Krahmer II'!$AA$41</f>
        <v>153.58040160996183</v>
      </c>
      <c r="AB11" s="57">
        <f t="shared" si="13"/>
        <v>326.00369615219608</v>
      </c>
      <c r="AD11" s="46">
        <f t="shared" si="14"/>
        <v>326.00369615219608</v>
      </c>
      <c r="AE11" s="46">
        <f t="shared" si="15"/>
        <v>0</v>
      </c>
    </row>
    <row r="12" spans="1:31" x14ac:dyDescent="0.3">
      <c r="B12" s="2">
        <f t="shared" si="5"/>
        <v>2028</v>
      </c>
      <c r="C12" s="3">
        <f t="shared" si="6"/>
        <v>509.71249753268489</v>
      </c>
      <c r="D12" s="3">
        <f t="shared" si="0"/>
        <v>509.71249753268489</v>
      </c>
      <c r="E12" s="3">
        <f t="shared" si="7"/>
        <v>0.80121741765967702</v>
      </c>
      <c r="F12" s="3">
        <f t="shared" si="7"/>
        <v>900</v>
      </c>
      <c r="G12" s="3">
        <f>+'[8]Colector Krahmer II'!$AB$19</f>
        <v>332.63336591689256</v>
      </c>
      <c r="H12" s="3">
        <f t="shared" si="1"/>
        <v>177.07913161579233</v>
      </c>
      <c r="L12" s="9"/>
      <c r="T12" s="56">
        <f t="shared" si="8"/>
        <v>2028</v>
      </c>
      <c r="U12" s="9">
        <f>+'[8]Colector Krahmer II'!$V$19</f>
        <v>37565.066801940244</v>
      </c>
      <c r="V12" s="34">
        <f>+'[8]Colector Krahmer II'!$U$19</f>
        <v>68.155631504786328</v>
      </c>
      <c r="W12" s="44">
        <f t="shared" si="9"/>
        <v>2.3821652668906514</v>
      </c>
      <c r="X12" s="34">
        <f t="shared" si="10"/>
        <v>162.35797811370023</v>
      </c>
      <c r="Y12" s="34">
        <f t="shared" si="11"/>
        <v>13.631126300957266</v>
      </c>
      <c r="Z12" s="34">
        <f t="shared" si="12"/>
        <v>175.9891044146575</v>
      </c>
      <c r="AA12" s="34">
        <f>+'[8]Colector Krahmer II'!$AA$41</f>
        <v>156.64426150223505</v>
      </c>
      <c r="AB12" s="57">
        <f t="shared" si="13"/>
        <v>332.63336591689256</v>
      </c>
      <c r="AD12" s="46">
        <f t="shared" si="14"/>
        <v>332.63336591689256</v>
      </c>
      <c r="AE12" s="46">
        <f t="shared" si="15"/>
        <v>0</v>
      </c>
    </row>
    <row r="13" spans="1:31" x14ac:dyDescent="0.3">
      <c r="B13" s="2">
        <f t="shared" si="5"/>
        <v>2029</v>
      </c>
      <c r="C13" s="3">
        <f t="shared" si="6"/>
        <v>509.71249753268489</v>
      </c>
      <c r="D13" s="3">
        <f t="shared" si="0"/>
        <v>509.71249753268489</v>
      </c>
      <c r="E13" s="3">
        <f t="shared" si="7"/>
        <v>0.80121741765967702</v>
      </c>
      <c r="F13" s="3">
        <f t="shared" si="7"/>
        <v>900</v>
      </c>
      <c r="G13" s="3">
        <f>+'[9]Colector Krahmer II'!$AB$19</f>
        <v>339.27728665754228</v>
      </c>
      <c r="H13" s="3">
        <f t="shared" si="1"/>
        <v>170.43521087514262</v>
      </c>
      <c r="L13" s="9"/>
      <c r="T13" s="56">
        <f t="shared" si="8"/>
        <v>2029</v>
      </c>
      <c r="U13" s="9">
        <f>+'[9]Colector Krahmer II'!$V$19</f>
        <v>37862.983363963751</v>
      </c>
      <c r="V13" s="34">
        <f>+'[9]Colector Krahmer II'!$U$19</f>
        <v>69.628199876769131</v>
      </c>
      <c r="W13" s="44">
        <f t="shared" si="9"/>
        <v>2.3788633417639335</v>
      </c>
      <c r="X13" s="34">
        <f t="shared" si="10"/>
        <v>165.63597223985812</v>
      </c>
      <c r="Y13" s="34">
        <f t="shared" si="11"/>
        <v>13.925639975353826</v>
      </c>
      <c r="Z13" s="34">
        <f t="shared" si="12"/>
        <v>179.56161221521194</v>
      </c>
      <c r="AA13" s="34">
        <f>+'[9]Colector Krahmer II'!$AA$41</f>
        <v>159.71567444233034</v>
      </c>
      <c r="AB13" s="57">
        <f t="shared" si="13"/>
        <v>339.27728665754228</v>
      </c>
      <c r="AD13" s="46">
        <f t="shared" si="14"/>
        <v>339.27728665754228</v>
      </c>
      <c r="AE13" s="46">
        <f t="shared" si="15"/>
        <v>0</v>
      </c>
    </row>
    <row r="14" spans="1:31" x14ac:dyDescent="0.3">
      <c r="B14" s="2">
        <f t="shared" si="5"/>
        <v>2030</v>
      </c>
      <c r="C14" s="3">
        <f t="shared" si="6"/>
        <v>509.71249753268489</v>
      </c>
      <c r="D14" s="3">
        <f t="shared" si="0"/>
        <v>509.71249753268489</v>
      </c>
      <c r="E14" s="3">
        <f t="shared" si="7"/>
        <v>0.80121741765967702</v>
      </c>
      <c r="F14" s="3">
        <f t="shared" si="7"/>
        <v>900</v>
      </c>
      <c r="G14" s="3">
        <f>+'[10]Colector Krahmer II'!$AB$19</f>
        <v>345.98659501674888</v>
      </c>
      <c r="H14" s="3">
        <f t="shared" si="1"/>
        <v>163.72590251593601</v>
      </c>
      <c r="L14" s="9"/>
      <c r="T14" s="56">
        <f t="shared" si="8"/>
        <v>2030</v>
      </c>
      <c r="U14" s="9">
        <f>+'[10]Colector Krahmer II'!$V$19</f>
        <v>38162.497333826526</v>
      </c>
      <c r="V14" s="34">
        <f>+'[10]Colector Krahmer II'!$U$19</f>
        <v>71.117531855470119</v>
      </c>
      <c r="W14" s="44">
        <f t="shared" si="9"/>
        <v>2.37557255279805</v>
      </c>
      <c r="X14" s="34">
        <f t="shared" si="10"/>
        <v>168.9448566985958</v>
      </c>
      <c r="Y14" s="34">
        <f t="shared" si="11"/>
        <v>14.223506371094025</v>
      </c>
      <c r="Z14" s="34">
        <f t="shared" si="12"/>
        <v>183.16836306968983</v>
      </c>
      <c r="AA14" s="34">
        <f>+'[10]Colector Krahmer II'!$AA$41</f>
        <v>162.81823194705908</v>
      </c>
      <c r="AB14" s="57">
        <f t="shared" si="13"/>
        <v>345.98659501674888</v>
      </c>
      <c r="AD14" s="46">
        <f t="shared" si="14"/>
        <v>345.98659501674888</v>
      </c>
      <c r="AE14" s="46">
        <f t="shared" si="15"/>
        <v>0</v>
      </c>
    </row>
    <row r="15" spans="1:31" x14ac:dyDescent="0.3">
      <c r="B15" s="2">
        <f t="shared" si="5"/>
        <v>2031</v>
      </c>
      <c r="C15" s="3">
        <f t="shared" si="6"/>
        <v>509.71249753268489</v>
      </c>
      <c r="D15" s="3">
        <f t="shared" si="0"/>
        <v>509.71249753268489</v>
      </c>
      <c r="E15" s="3">
        <f t="shared" si="7"/>
        <v>0.80121741765967702</v>
      </c>
      <c r="F15" s="3">
        <f t="shared" si="7"/>
        <v>900</v>
      </c>
      <c r="G15" s="3">
        <f>+'[11]Colector Krahmer II'!$AB$19</f>
        <v>352.76931690518325</v>
      </c>
      <c r="H15" s="3">
        <f t="shared" si="1"/>
        <v>156.94318062750165</v>
      </c>
      <c r="L15" s="9"/>
      <c r="T15" s="56">
        <f t="shared" si="8"/>
        <v>2031</v>
      </c>
      <c r="U15" s="9">
        <f>+'[11]Colector Krahmer II'!$V$19</f>
        <v>38463.608711528555</v>
      </c>
      <c r="V15" s="34">
        <f>+'[11]Colector Krahmer II'!$U$19</f>
        <v>72.620877821057661</v>
      </c>
      <c r="W15" s="44">
        <f t="shared" si="9"/>
        <v>2.3722929072230983</v>
      </c>
      <c r="X15" s="34">
        <f t="shared" si="10"/>
        <v>172.2779933712103</v>
      </c>
      <c r="Y15" s="34">
        <f t="shared" si="11"/>
        <v>14.524175564211532</v>
      </c>
      <c r="Z15" s="34">
        <f t="shared" si="12"/>
        <v>186.80216893542183</v>
      </c>
      <c r="AA15" s="34">
        <f>+'[11]Colector Krahmer II'!$AA$41</f>
        <v>165.96714796976141</v>
      </c>
      <c r="AB15" s="57">
        <f t="shared" si="13"/>
        <v>352.76931690518325</v>
      </c>
      <c r="AD15" s="46">
        <f t="shared" si="14"/>
        <v>352.76931690518325</v>
      </c>
      <c r="AE15" s="46">
        <f t="shared" si="15"/>
        <v>0</v>
      </c>
    </row>
    <row r="16" spans="1:31" x14ac:dyDescent="0.3">
      <c r="B16" s="2">
        <f t="shared" si="5"/>
        <v>2032</v>
      </c>
      <c r="C16" s="3">
        <f t="shared" si="6"/>
        <v>509.71249753268489</v>
      </c>
      <c r="D16" s="3">
        <f t="shared" si="0"/>
        <v>509.71249753268489</v>
      </c>
      <c r="E16" s="3">
        <f t="shared" si="7"/>
        <v>0.80121741765967702</v>
      </c>
      <c r="F16" s="3">
        <f t="shared" si="7"/>
        <v>900</v>
      </c>
      <c r="G16" s="3">
        <f>+'[12]Colector Krahmer II'!$AB$19</f>
        <v>359.63168250293143</v>
      </c>
      <c r="H16" s="3">
        <f t="shared" si="1"/>
        <v>150.08081502975347</v>
      </c>
      <c r="L16" s="9"/>
      <c r="T16" s="56">
        <f t="shared" si="8"/>
        <v>2032</v>
      </c>
      <c r="U16" s="9">
        <f>+'[12]Colector Krahmer II'!$V$19</f>
        <v>38766.31749706986</v>
      </c>
      <c r="V16" s="34">
        <f>+'[12]Colector Krahmer II'!$U$19</f>
        <v>74.143860770563919</v>
      </c>
      <c r="W16" s="44">
        <f t="shared" si="9"/>
        <v>2.3690244107029024</v>
      </c>
      <c r="X16" s="34">
        <f t="shared" si="10"/>
        <v>175.64861606922324</v>
      </c>
      <c r="Y16" s="34">
        <f t="shared" si="11"/>
        <v>14.828772154112784</v>
      </c>
      <c r="Z16" s="34">
        <f t="shared" si="12"/>
        <v>190.47738822333602</v>
      </c>
      <c r="AA16" s="34">
        <f>+'[12]Colector Krahmer II'!$AA$41</f>
        <v>169.1542942795954</v>
      </c>
      <c r="AB16" s="57">
        <f t="shared" si="13"/>
        <v>359.63168250293143</v>
      </c>
      <c r="AD16" s="46">
        <f t="shared" si="14"/>
        <v>359.63168250293143</v>
      </c>
      <c r="AE16" s="46">
        <f t="shared" si="15"/>
        <v>0</v>
      </c>
    </row>
    <row r="17" spans="1:31" x14ac:dyDescent="0.3">
      <c r="B17" s="2">
        <f t="shared" si="5"/>
        <v>2033</v>
      </c>
      <c r="C17" s="3">
        <f t="shared" si="6"/>
        <v>509.71249753268489</v>
      </c>
      <c r="D17" s="3">
        <f t="shared" si="0"/>
        <v>509.71249753268489</v>
      </c>
      <c r="E17" s="3">
        <f t="shared" si="7"/>
        <v>0.80121741765967702</v>
      </c>
      <c r="F17" s="3">
        <f t="shared" si="7"/>
        <v>900</v>
      </c>
      <c r="G17" s="3">
        <f>+'[13]Colector Krahmer II'!$AB$19</f>
        <v>366.50459458793</v>
      </c>
      <c r="H17" s="3">
        <f t="shared" si="1"/>
        <v>143.20790294475489</v>
      </c>
      <c r="L17" s="9"/>
      <c r="T17" s="56">
        <f t="shared" si="8"/>
        <v>2033</v>
      </c>
      <c r="U17" s="9">
        <f>+'[13]Colector Krahmer II'!$V$19</f>
        <v>39070.889925090305</v>
      </c>
      <c r="V17" s="34">
        <f>+'[13]Colector Krahmer II'!$U$19</f>
        <v>75.672331024794801</v>
      </c>
      <c r="W17" s="44">
        <f t="shared" si="9"/>
        <v>2.3657642298976214</v>
      </c>
      <c r="X17" s="34">
        <f t="shared" si="10"/>
        <v>179.02289393143155</v>
      </c>
      <c r="Y17" s="34">
        <f t="shared" si="11"/>
        <v>15.134466204958962</v>
      </c>
      <c r="Z17" s="34">
        <f t="shared" si="12"/>
        <v>194.15736013639051</v>
      </c>
      <c r="AA17" s="34">
        <f>+'[13]Colector Krahmer II'!$AA$41</f>
        <v>172.34723445153952</v>
      </c>
      <c r="AB17" s="57">
        <f t="shared" si="13"/>
        <v>366.50459458793</v>
      </c>
      <c r="AD17" s="46">
        <f t="shared" si="14"/>
        <v>366.50459458793</v>
      </c>
      <c r="AE17" s="46">
        <f t="shared" si="15"/>
        <v>0</v>
      </c>
    </row>
    <row r="18" spans="1:31" x14ac:dyDescent="0.3">
      <c r="B18" s="2">
        <f t="shared" si="5"/>
        <v>2034</v>
      </c>
      <c r="C18" s="3">
        <f t="shared" si="6"/>
        <v>509.71249753268489</v>
      </c>
      <c r="D18" s="3">
        <f t="shared" si="0"/>
        <v>509.71249753268489</v>
      </c>
      <c r="E18" s="3">
        <f t="shared" si="7"/>
        <v>0.80121741765967702</v>
      </c>
      <c r="F18" s="3">
        <f t="shared" si="7"/>
        <v>900</v>
      </c>
      <c r="G18" s="3">
        <f>+'[14]Colector Krahmer II'!$AB$19</f>
        <v>373.4436131937515</v>
      </c>
      <c r="H18" s="3">
        <f t="shared" si="1"/>
        <v>136.26888433893339</v>
      </c>
      <c r="L18" s="9"/>
      <c r="T18" s="56">
        <f t="shared" si="8"/>
        <v>2034</v>
      </c>
      <c r="U18" s="9">
        <f>+'[14]Colector Krahmer II'!$V$19</f>
        <v>39376.527291670267</v>
      </c>
      <c r="V18" s="34">
        <f>+'[14]Colector Krahmer II'!$U$19</f>
        <v>77.217738148284226</v>
      </c>
      <c r="W18" s="44">
        <f t="shared" si="9"/>
        <v>2.3625208799123874</v>
      </c>
      <c r="X18" s="34">
        <f t="shared" si="10"/>
        <v>182.42851867492877</v>
      </c>
      <c r="Y18" s="34">
        <f t="shared" si="11"/>
        <v>15.443547629656846</v>
      </c>
      <c r="Z18" s="34">
        <f t="shared" si="12"/>
        <v>197.87206630458562</v>
      </c>
      <c r="AA18" s="34">
        <f>+'[14]Colector Krahmer II'!$AA$41</f>
        <v>175.57154688916589</v>
      </c>
      <c r="AB18" s="57">
        <f t="shared" si="13"/>
        <v>373.4436131937515</v>
      </c>
      <c r="AD18" s="46">
        <f t="shared" si="14"/>
        <v>373.4436131937515</v>
      </c>
      <c r="AE18" s="46">
        <f t="shared" si="15"/>
        <v>0</v>
      </c>
    </row>
    <row r="19" spans="1:31" x14ac:dyDescent="0.3">
      <c r="B19" s="2">
        <f t="shared" si="5"/>
        <v>2035</v>
      </c>
      <c r="C19" s="3">
        <f t="shared" si="6"/>
        <v>509.71249753268489</v>
      </c>
      <c r="D19" s="3">
        <f t="shared" si="0"/>
        <v>509.71249753268489</v>
      </c>
      <c r="E19" s="3">
        <f t="shared" si="7"/>
        <v>0.80121741765967702</v>
      </c>
      <c r="F19" s="3">
        <f t="shared" si="7"/>
        <v>900</v>
      </c>
      <c r="G19" s="3">
        <f>+'[15]Colector Krahmer II'!$AB$19</f>
        <v>380.43318207877883</v>
      </c>
      <c r="H19" s="3">
        <f t="shared" si="1"/>
        <v>129.27931545390607</v>
      </c>
      <c r="L19" s="9"/>
      <c r="T19" s="56">
        <f t="shared" si="8"/>
        <v>2035</v>
      </c>
      <c r="U19" s="9">
        <f>+'[15]Colector Krahmer II'!$V$19</f>
        <v>39684.294535369256</v>
      </c>
      <c r="V19" s="34">
        <f>+'[15]Colector Krahmer II'!$U$19</f>
        <v>78.777159258660191</v>
      </c>
      <c r="W19" s="44">
        <f t="shared" si="9"/>
        <v>2.3592830607193331</v>
      </c>
      <c r="X19" s="34">
        <f t="shared" si="10"/>
        <v>185.85761741054617</v>
      </c>
      <c r="Y19" s="34">
        <f t="shared" si="11"/>
        <v>15.755431851732039</v>
      </c>
      <c r="Z19" s="34">
        <f t="shared" si="12"/>
        <v>201.6130492622782</v>
      </c>
      <c r="AA19" s="34">
        <f>+'[15]Colector Krahmer II'!$AA$41</f>
        <v>178.8201328165006</v>
      </c>
      <c r="AB19" s="57">
        <f t="shared" si="13"/>
        <v>380.43318207877883</v>
      </c>
      <c r="AD19" s="46">
        <f t="shared" si="14"/>
        <v>380.43318207877883</v>
      </c>
      <c r="AE19" s="46">
        <f t="shared" si="15"/>
        <v>0</v>
      </c>
    </row>
    <row r="20" spans="1:31" x14ac:dyDescent="0.3">
      <c r="B20" s="2">
        <f t="shared" si="5"/>
        <v>2036</v>
      </c>
      <c r="C20" s="3">
        <f t="shared" si="6"/>
        <v>509.71249753268489</v>
      </c>
      <c r="D20" s="3">
        <f t="shared" si="0"/>
        <v>509.71249753268489</v>
      </c>
      <c r="E20" s="3">
        <f t="shared" si="7"/>
        <v>0.80121741765967702</v>
      </c>
      <c r="F20" s="3">
        <f t="shared" si="7"/>
        <v>900</v>
      </c>
      <c r="G20" s="3">
        <f>+'[16]Colector Krahmer II'!$AB$19</f>
        <v>387.50214011981694</v>
      </c>
      <c r="H20" s="3">
        <f t="shared" si="1"/>
        <v>122.21035741286795</v>
      </c>
      <c r="L20" s="9"/>
      <c r="T20" s="56">
        <f t="shared" si="8"/>
        <v>2036</v>
      </c>
      <c r="U20" s="9">
        <f>+'[16]Colector Krahmer II'!$V$19</f>
        <v>39993.392952267626</v>
      </c>
      <c r="V20" s="34">
        <f>+'[16]Colector Krahmer II'!$U$19</f>
        <v>80.356467404464524</v>
      </c>
      <c r="W20" s="44">
        <f t="shared" si="9"/>
        <v>2.3560592112021372</v>
      </c>
      <c r="X20" s="34">
        <f t="shared" si="10"/>
        <v>189.32459520795294</v>
      </c>
      <c r="Y20" s="34">
        <f t="shared" si="11"/>
        <v>16.071293480892905</v>
      </c>
      <c r="Z20" s="34">
        <f t="shared" si="12"/>
        <v>205.39588868884584</v>
      </c>
      <c r="AA20" s="34">
        <f>+'[16]Colector Krahmer II'!$AA$41</f>
        <v>182.1062514309711</v>
      </c>
      <c r="AB20" s="57">
        <f t="shared" si="13"/>
        <v>387.50214011981694</v>
      </c>
      <c r="AD20" s="46">
        <f t="shared" si="14"/>
        <v>387.50214011981694</v>
      </c>
      <c r="AE20" s="46">
        <f t="shared" si="15"/>
        <v>0</v>
      </c>
    </row>
    <row r="21" spans="1:31" ht="13.8" thickBot="1" x14ac:dyDescent="0.35">
      <c r="B21" s="2">
        <f t="shared" si="5"/>
        <v>2037</v>
      </c>
      <c r="C21" s="3">
        <f t="shared" si="6"/>
        <v>509.71249753268489</v>
      </c>
      <c r="D21" s="3">
        <f t="shared" si="0"/>
        <v>509.71249753268489</v>
      </c>
      <c r="E21" s="3">
        <f t="shared" si="7"/>
        <v>0.80121741765967702</v>
      </c>
      <c r="F21" s="3">
        <f t="shared" si="7"/>
        <v>900</v>
      </c>
      <c r="G21" s="3">
        <f>+'[17]Colector Krahmer II'!$AB$19</f>
        <v>394.57918784176991</v>
      </c>
      <c r="H21" s="3">
        <f t="shared" si="1"/>
        <v>115.13330969091498</v>
      </c>
      <c r="I21" s="13">
        <f>+G21/G6-1</f>
        <v>0.35371164218495199</v>
      </c>
      <c r="L21" s="9"/>
      <c r="M21" s="8"/>
      <c r="T21" s="58">
        <f t="shared" si="8"/>
        <v>2037</v>
      </c>
      <c r="U21" s="59">
        <f>+'[17]Colector Krahmer II'!$V$19</f>
        <v>40304.355011645152</v>
      </c>
      <c r="V21" s="60">
        <f>+'[17]Colector Krahmer II'!$U$19</f>
        <v>81.940839540943486</v>
      </c>
      <c r="W21" s="61">
        <f t="shared" si="9"/>
        <v>2.3528437756988234</v>
      </c>
      <c r="X21" s="60">
        <f t="shared" si="10"/>
        <v>192.79399428944492</v>
      </c>
      <c r="Y21" s="60">
        <f t="shared" si="11"/>
        <v>16.388167908188699</v>
      </c>
      <c r="Z21" s="60">
        <f t="shared" si="12"/>
        <v>209.18216219763363</v>
      </c>
      <c r="AA21" s="60">
        <f>+'[17]Colector Krahmer II'!$AA$41</f>
        <v>185.39702564413628</v>
      </c>
      <c r="AB21" s="62">
        <f t="shared" si="13"/>
        <v>394.57918784176991</v>
      </c>
      <c r="AD21" s="46">
        <f t="shared" si="14"/>
        <v>394.57918784176991</v>
      </c>
      <c r="AE21" s="46">
        <f t="shared" si="15"/>
        <v>0</v>
      </c>
    </row>
    <row r="22" spans="1:31" x14ac:dyDescent="0.3">
      <c r="L22" s="9"/>
    </row>
    <row r="23" spans="1:31" x14ac:dyDescent="0.3">
      <c r="L23" s="9"/>
    </row>
    <row r="24" spans="1:31" ht="13.8" thickBot="1" x14ac:dyDescent="0.35"/>
    <row r="25" spans="1:31" x14ac:dyDescent="0.3">
      <c r="B25" s="5" t="s">
        <v>69</v>
      </c>
      <c r="E25" s="6" t="s">
        <v>7</v>
      </c>
      <c r="F25" s="7">
        <f>+SUM('[17]Colector Krahmer II (c_Proy)'!$M$20:$M$25)</f>
        <v>460.72</v>
      </c>
      <c r="G25" s="8" t="s">
        <v>8</v>
      </c>
      <c r="L25" s="5" t="s">
        <v>88</v>
      </c>
      <c r="O25" s="6"/>
      <c r="P25" s="7"/>
      <c r="Q25" s="8"/>
      <c r="T25" s="47"/>
      <c r="U25" s="48" t="s">
        <v>98</v>
      </c>
      <c r="V25" s="49"/>
      <c r="W25" s="49"/>
      <c r="X25" s="49"/>
      <c r="Y25" s="49"/>
      <c r="Z25" s="49"/>
      <c r="AA25" s="49"/>
      <c r="AB25" s="50"/>
    </row>
    <row r="26" spans="1:31" x14ac:dyDescent="0.3">
      <c r="B26" s="8" t="s">
        <v>86</v>
      </c>
      <c r="L26" s="8" t="str">
        <f>+B26</f>
        <v>ENTRE CÁMARA 10852 y CÁMARA 4164</v>
      </c>
      <c r="T26" s="51"/>
      <c r="U26" s="42" t="s">
        <v>149</v>
      </c>
      <c r="W26" s="12" t="s">
        <v>151</v>
      </c>
      <c r="AB26" s="52"/>
    </row>
    <row r="27" spans="1:31" x14ac:dyDescent="0.3">
      <c r="B27" s="96" t="s">
        <v>0</v>
      </c>
      <c r="C27" s="96" t="s">
        <v>20</v>
      </c>
      <c r="D27" s="96" t="s">
        <v>1</v>
      </c>
      <c r="E27" s="96"/>
      <c r="F27" s="96"/>
      <c r="G27" s="96" t="s">
        <v>21</v>
      </c>
      <c r="H27" s="96" t="s">
        <v>2</v>
      </c>
      <c r="L27" s="96" t="s">
        <v>0</v>
      </c>
      <c r="M27" s="96" t="s">
        <v>13</v>
      </c>
      <c r="N27" s="97" t="s">
        <v>14</v>
      </c>
      <c r="O27" s="98"/>
      <c r="P27" s="98"/>
      <c r="Q27" s="99"/>
      <c r="R27" s="100" t="s">
        <v>19</v>
      </c>
      <c r="T27" s="51"/>
      <c r="Y27" s="53">
        <v>0.2</v>
      </c>
      <c r="AA27" s="43" t="s">
        <v>94</v>
      </c>
      <c r="AB27" s="52"/>
    </row>
    <row r="28" spans="1:31" x14ac:dyDescent="0.3">
      <c r="B28" s="96"/>
      <c r="C28" s="96"/>
      <c r="D28" s="18" t="s">
        <v>3</v>
      </c>
      <c r="E28" s="18" t="s">
        <v>4</v>
      </c>
      <c r="F28" s="18" t="s">
        <v>5</v>
      </c>
      <c r="G28" s="96"/>
      <c r="H28" s="96"/>
      <c r="L28" s="96"/>
      <c r="M28" s="96"/>
      <c r="N28" s="18" t="s">
        <v>17</v>
      </c>
      <c r="O28" s="18" t="s">
        <v>16</v>
      </c>
      <c r="P28" s="18" t="s">
        <v>15</v>
      </c>
      <c r="Q28" s="18" t="s">
        <v>18</v>
      </c>
      <c r="R28" s="101"/>
      <c r="T28" s="54" t="s">
        <v>0</v>
      </c>
      <c r="U28" s="45" t="s">
        <v>90</v>
      </c>
      <c r="V28" s="45" t="s">
        <v>99</v>
      </c>
      <c r="W28" s="45" t="s">
        <v>91</v>
      </c>
      <c r="X28" s="45" t="s">
        <v>92</v>
      </c>
      <c r="Y28" s="45" t="s">
        <v>93</v>
      </c>
      <c r="Z28" s="45" t="s">
        <v>100</v>
      </c>
      <c r="AA28" s="45"/>
      <c r="AB28" s="55" t="s">
        <v>101</v>
      </c>
      <c r="AC28" s="45"/>
      <c r="AD28" s="45" t="s">
        <v>92</v>
      </c>
      <c r="AE28" s="45" t="s">
        <v>97</v>
      </c>
    </row>
    <row r="29" spans="1:31" x14ac:dyDescent="0.3">
      <c r="A29" s="12" t="s">
        <v>6</v>
      </c>
      <c r="B29" s="2">
        <f>+B6</f>
        <v>2022</v>
      </c>
      <c r="C29" s="3">
        <f>+SUMPRODUCT('[17]Colector Krahmer II'!$AL$20:$AL$25,'[17]Colector Krahmer II'!$M$20:$M$25)/F25</f>
        <v>371.93033039420106</v>
      </c>
      <c r="D29" s="3">
        <f t="shared" ref="D29:D44" si="16">+C29</f>
        <v>371.93033039420106</v>
      </c>
      <c r="E29" s="3">
        <f>D29/(0.25*PI()*(F29/1000)^2)/1000</f>
        <v>0.73993188210048622</v>
      </c>
      <c r="F29" s="3">
        <f>+SUMPRODUCT('[17]Colector Krahmer II'!$F$20:$F$25,'[17]Colector Krahmer II'!$M$20:$M$25)/F25</f>
        <v>800</v>
      </c>
      <c r="G29" s="3">
        <f>+'[2]Colector Krahmer II'!$AB$25</f>
        <v>304.38902292447386</v>
      </c>
      <c r="H29" s="3">
        <f t="shared" ref="H29:H44" si="17">+D29-G29</f>
        <v>67.541307469727201</v>
      </c>
      <c r="L29" s="2">
        <f>+B29</f>
        <v>2022</v>
      </c>
      <c r="M29" s="1"/>
      <c r="N29" s="14"/>
      <c r="O29" s="14"/>
      <c r="P29" s="14"/>
      <c r="Q29" s="14"/>
      <c r="R29" s="1"/>
      <c r="T29" s="56">
        <f>+B29</f>
        <v>2022</v>
      </c>
      <c r="U29" s="9">
        <f>+'[2]Colector Krahmer II'!$V$25</f>
        <v>39801.337508640368</v>
      </c>
      <c r="V29" s="34">
        <f>+'[2]Colector Krahmer II'!$U$25</f>
        <v>65.184608457356575</v>
      </c>
      <c r="W29" s="44">
        <f t="shared" ref="W29:W44" si="18">1+(14/(4+(SQRT(U29/1000))))</f>
        <v>2.3580590459126078</v>
      </c>
      <c r="X29" s="34">
        <f t="shared" ref="X29:X44" si="19">+W29*V29</f>
        <v>153.70915562714114</v>
      </c>
      <c r="Y29" s="34">
        <f>+V29*$Y$4</f>
        <v>13.036921691471315</v>
      </c>
      <c r="Z29" s="34">
        <f t="shared" ref="Z29:Z44" si="20">+Y29+X29</f>
        <v>166.74607731861246</v>
      </c>
      <c r="AA29" s="34">
        <f>+'[2]Colector Krahmer II'!$AA$41</f>
        <v>137.6429456058614</v>
      </c>
      <c r="AB29" s="57">
        <f>+AA29+Z29</f>
        <v>304.38902292447386</v>
      </c>
      <c r="AD29" s="46">
        <f>+G29</f>
        <v>304.38902292447386</v>
      </c>
      <c r="AE29" s="46">
        <f>+AB29-AD29</f>
        <v>0</v>
      </c>
    </row>
    <row r="30" spans="1:31" x14ac:dyDescent="0.3">
      <c r="B30" s="2">
        <f t="shared" ref="B30:B44" si="21">+B29+1</f>
        <v>2023</v>
      </c>
      <c r="C30" s="3">
        <f t="shared" ref="C30:C44" si="22">+C29</f>
        <v>371.93033039420106</v>
      </c>
      <c r="D30" s="3">
        <f t="shared" si="16"/>
        <v>371.93033039420106</v>
      </c>
      <c r="E30" s="3">
        <f t="shared" ref="E30:F30" si="23">+E29</f>
        <v>0.73993188210048622</v>
      </c>
      <c r="F30" s="3">
        <f t="shared" si="23"/>
        <v>800</v>
      </c>
      <c r="G30" s="3">
        <f>+'[3]Colector Krahmer II'!$AB$25</f>
        <v>313.2789855129771</v>
      </c>
      <c r="H30" s="3">
        <f t="shared" si="17"/>
        <v>58.651344881223963</v>
      </c>
      <c r="L30" s="2">
        <f t="shared" ref="L30:L44" si="24">+L29+1</f>
        <v>2023</v>
      </c>
      <c r="M30" s="1"/>
      <c r="N30" s="14"/>
      <c r="O30" s="14"/>
      <c r="P30" s="14"/>
      <c r="Q30" s="14"/>
      <c r="R30" s="1"/>
      <c r="T30" s="56">
        <f t="shared" ref="T30:T44" si="25">+B30</f>
        <v>2023</v>
      </c>
      <c r="U30" s="9">
        <f>+'[3]Colector Krahmer II'!$V$25</f>
        <v>40116.418838804508</v>
      </c>
      <c r="V30" s="34">
        <f>+'[3]Colector Krahmer II'!$U$25</f>
        <v>67.191088843768981</v>
      </c>
      <c r="W30" s="44">
        <f t="shared" si="18"/>
        <v>2.3547837731159942</v>
      </c>
      <c r="X30" s="34">
        <f t="shared" si="19"/>
        <v>158.22048570730232</v>
      </c>
      <c r="Y30" s="34">
        <f t="shared" ref="Y30:Y44" si="26">+V30*$Y$4</f>
        <v>13.438217768753796</v>
      </c>
      <c r="Z30" s="34">
        <f t="shared" si="20"/>
        <v>171.6587034760561</v>
      </c>
      <c r="AA30" s="34">
        <f>+'[3]Colector Krahmer II'!$AA$41</f>
        <v>141.62028203692103</v>
      </c>
      <c r="AB30" s="57">
        <f t="shared" ref="AB30:AB44" si="27">+AA30+Z30</f>
        <v>313.2789855129771</v>
      </c>
      <c r="AD30" s="46">
        <f t="shared" ref="AD30:AD44" si="28">+G30</f>
        <v>313.2789855129771</v>
      </c>
      <c r="AE30" s="46">
        <f t="shared" ref="AE30:AE44" si="29">+AB30-AD30</f>
        <v>0</v>
      </c>
    </row>
    <row r="31" spans="1:31" x14ac:dyDescent="0.3">
      <c r="B31" s="2">
        <f t="shared" si="21"/>
        <v>2024</v>
      </c>
      <c r="C31" s="3">
        <f t="shared" si="22"/>
        <v>371.93033039420106</v>
      </c>
      <c r="D31" s="3">
        <f t="shared" si="16"/>
        <v>371.93033039420106</v>
      </c>
      <c r="E31" s="3">
        <f t="shared" ref="E31:F31" si="30">+E30</f>
        <v>0.73993188210048622</v>
      </c>
      <c r="F31" s="3">
        <f t="shared" si="30"/>
        <v>800</v>
      </c>
      <c r="G31" s="3">
        <f>+'[4]Colector Krahmer II'!$AB$25</f>
        <v>319.8923632308929</v>
      </c>
      <c r="H31" s="3">
        <f t="shared" si="17"/>
        <v>52.037967163308167</v>
      </c>
      <c r="L31" s="2">
        <f t="shared" si="24"/>
        <v>2024</v>
      </c>
      <c r="M31" s="1"/>
      <c r="N31" s="4"/>
      <c r="O31" s="3"/>
      <c r="P31" s="1"/>
      <c r="Q31" s="3"/>
      <c r="R31" s="1"/>
      <c r="T31" s="56">
        <f t="shared" si="25"/>
        <v>2024</v>
      </c>
      <c r="U31" s="9">
        <f>+'[4]Colector Krahmer II'!$V$25</f>
        <v>40432.946823377111</v>
      </c>
      <c r="V31" s="34">
        <f>+'[4]Colector Krahmer II'!$U$25</f>
        <v>68.708178637065799</v>
      </c>
      <c r="W31" s="44">
        <f t="shared" si="18"/>
        <v>2.3515221632422185</v>
      </c>
      <c r="X31" s="34">
        <f t="shared" si="19"/>
        <v>161.56880486106576</v>
      </c>
      <c r="Y31" s="34">
        <f t="shared" si="26"/>
        <v>13.741635727413161</v>
      </c>
      <c r="Z31" s="34">
        <f t="shared" si="20"/>
        <v>175.31044058847891</v>
      </c>
      <c r="AA31" s="34">
        <f>+'[4]Colector Krahmer II'!$AA$41</f>
        <v>144.58192264241401</v>
      </c>
      <c r="AB31" s="57">
        <f t="shared" si="27"/>
        <v>319.8923632308929</v>
      </c>
      <c r="AD31" s="46">
        <f t="shared" si="28"/>
        <v>319.8923632308929</v>
      </c>
      <c r="AE31" s="46">
        <f t="shared" si="29"/>
        <v>0</v>
      </c>
    </row>
    <row r="32" spans="1:31" x14ac:dyDescent="0.3">
      <c r="B32" s="2">
        <f t="shared" si="21"/>
        <v>2025</v>
      </c>
      <c r="C32" s="3">
        <f t="shared" si="22"/>
        <v>371.93033039420106</v>
      </c>
      <c r="D32" s="3">
        <f t="shared" si="16"/>
        <v>371.93033039420106</v>
      </c>
      <c r="E32" s="3">
        <f t="shared" ref="E32:F32" si="31">+E31</f>
        <v>0.73993188210048622</v>
      </c>
      <c r="F32" s="3">
        <f t="shared" si="31"/>
        <v>800</v>
      </c>
      <c r="G32" s="3">
        <f>+'[5]Colector Krahmer II'!$AB$25</f>
        <v>326.52304875215168</v>
      </c>
      <c r="H32" s="3">
        <f t="shared" si="17"/>
        <v>45.407281642049384</v>
      </c>
      <c r="L32" s="2">
        <f t="shared" si="24"/>
        <v>2025</v>
      </c>
      <c r="M32" s="1"/>
      <c r="N32" s="4"/>
      <c r="O32" s="3"/>
      <c r="P32" s="1"/>
      <c r="Q32" s="3"/>
      <c r="R32" s="1"/>
      <c r="T32" s="56">
        <f t="shared" si="25"/>
        <v>2025</v>
      </c>
      <c r="U32" s="9">
        <f>+'[5]Colector Krahmer II'!$V$25</f>
        <v>40750.632131476501</v>
      </c>
      <c r="V32" s="34">
        <f>+'[5]Colector Krahmer II'!$U$25</f>
        <v>70.232081819724186</v>
      </c>
      <c r="W32" s="44">
        <f t="shared" si="18"/>
        <v>2.3482771000227238</v>
      </c>
      <c r="X32" s="34">
        <f t="shared" si="19"/>
        <v>164.92438942418059</v>
      </c>
      <c r="Y32" s="34">
        <f t="shared" si="26"/>
        <v>14.046416363944838</v>
      </c>
      <c r="Z32" s="34">
        <f t="shared" si="20"/>
        <v>178.97080578812543</v>
      </c>
      <c r="AA32" s="34">
        <f>+'[5]Colector Krahmer II'!$AA$41</f>
        <v>147.55224296402622</v>
      </c>
      <c r="AB32" s="57">
        <f t="shared" si="27"/>
        <v>326.52304875215168</v>
      </c>
      <c r="AD32" s="46">
        <f t="shared" si="28"/>
        <v>326.52304875215168</v>
      </c>
      <c r="AE32" s="46">
        <f t="shared" si="29"/>
        <v>0</v>
      </c>
    </row>
    <row r="33" spans="2:31" x14ac:dyDescent="0.3">
      <c r="B33" s="2">
        <f t="shared" si="21"/>
        <v>2026</v>
      </c>
      <c r="C33" s="3">
        <f t="shared" si="22"/>
        <v>371.93033039420106</v>
      </c>
      <c r="D33" s="3">
        <f t="shared" si="16"/>
        <v>371.93033039420106</v>
      </c>
      <c r="E33" s="3">
        <f t="shared" ref="E33:F33" si="32">+E32</f>
        <v>0.73993188210048622</v>
      </c>
      <c r="F33" s="3">
        <f t="shared" si="32"/>
        <v>800</v>
      </c>
      <c r="G33" s="3">
        <f>+'[6]Colector Krahmer II'!$AB$25</f>
        <v>333.22106887878294</v>
      </c>
      <c r="H33" s="3">
        <f t="shared" si="17"/>
        <v>38.70926151541812</v>
      </c>
      <c r="L33" s="2">
        <f t="shared" si="24"/>
        <v>2026</v>
      </c>
      <c r="M33" s="1"/>
      <c r="N33" s="4"/>
      <c r="O33" s="3"/>
      <c r="P33" s="1"/>
      <c r="Q33" s="3"/>
      <c r="R33" s="1"/>
      <c r="T33" s="56">
        <f t="shared" si="25"/>
        <v>2026</v>
      </c>
      <c r="U33" s="9">
        <f>+'[6]Colector Krahmer II'!$V$25</f>
        <v>41070.053424866033</v>
      </c>
      <c r="V33" s="34">
        <f>+'[6]Colector Krahmer II'!$U$25</f>
        <v>71.773831177524812</v>
      </c>
      <c r="W33" s="44">
        <f t="shared" si="18"/>
        <v>2.3450426138200813</v>
      </c>
      <c r="X33" s="34">
        <f t="shared" si="19"/>
        <v>168.31269266842403</v>
      </c>
      <c r="Y33" s="34">
        <f t="shared" si="26"/>
        <v>14.354766235504963</v>
      </c>
      <c r="Z33" s="34">
        <f t="shared" si="20"/>
        <v>182.667458903929</v>
      </c>
      <c r="AA33" s="34">
        <f>+'[6]Colector Krahmer II'!$AA$41</f>
        <v>150.55360997485394</v>
      </c>
      <c r="AB33" s="57">
        <f t="shared" si="27"/>
        <v>333.22106887878294</v>
      </c>
      <c r="AD33" s="46">
        <f t="shared" si="28"/>
        <v>333.22106887878294</v>
      </c>
      <c r="AE33" s="46">
        <f t="shared" si="29"/>
        <v>0</v>
      </c>
    </row>
    <row r="34" spans="2:31" x14ac:dyDescent="0.3">
      <c r="B34" s="2">
        <f t="shared" si="21"/>
        <v>2027</v>
      </c>
      <c r="C34" s="3">
        <f t="shared" si="22"/>
        <v>371.93033039420106</v>
      </c>
      <c r="D34" s="3">
        <f t="shared" si="16"/>
        <v>371.93033039420106</v>
      </c>
      <c r="E34" s="3">
        <f t="shared" ref="E34:F34" si="33">+E33</f>
        <v>0.73993188210048622</v>
      </c>
      <c r="F34" s="3">
        <f t="shared" si="33"/>
        <v>800</v>
      </c>
      <c r="G34" s="3">
        <f>+'[7]Colector Krahmer II'!$AB$25</f>
        <v>339.97384629095205</v>
      </c>
      <c r="H34" s="3">
        <f t="shared" si="17"/>
        <v>31.956484103249011</v>
      </c>
      <c r="L34" s="2">
        <f t="shared" si="24"/>
        <v>2027</v>
      </c>
      <c r="M34" s="1"/>
      <c r="N34" s="4"/>
      <c r="O34" s="3"/>
      <c r="P34" s="1"/>
      <c r="Q34" s="3"/>
      <c r="R34" s="1"/>
      <c r="T34" s="56">
        <f t="shared" si="25"/>
        <v>2027</v>
      </c>
      <c r="U34" s="9">
        <f>+'[7]Colector Krahmer II'!$V$25</f>
        <v>41390.921372664045</v>
      </c>
      <c r="V34" s="34">
        <f>+'[7]Colector Krahmer II'!$U$25</f>
        <v>73.330655331950396</v>
      </c>
      <c r="W34" s="44">
        <f t="shared" si="18"/>
        <v>2.3418216138561907</v>
      </c>
      <c r="X34" s="34">
        <f t="shared" si="19"/>
        <v>171.72731361460015</v>
      </c>
      <c r="Y34" s="34">
        <f t="shared" si="26"/>
        <v>14.666131066390079</v>
      </c>
      <c r="Z34" s="34">
        <f t="shared" si="20"/>
        <v>186.39344468099023</v>
      </c>
      <c r="AA34" s="34">
        <f>+'[7]Colector Krahmer II'!$AA$41</f>
        <v>153.58040160996183</v>
      </c>
      <c r="AB34" s="57">
        <f t="shared" si="27"/>
        <v>339.97384629095205</v>
      </c>
      <c r="AD34" s="46">
        <f t="shared" si="28"/>
        <v>339.97384629095205</v>
      </c>
      <c r="AE34" s="46">
        <f t="shared" si="29"/>
        <v>0</v>
      </c>
    </row>
    <row r="35" spans="2:31" x14ac:dyDescent="0.3">
      <c r="B35" s="2">
        <f t="shared" si="21"/>
        <v>2028</v>
      </c>
      <c r="C35" s="3">
        <f t="shared" si="22"/>
        <v>371.93033039420106</v>
      </c>
      <c r="D35" s="3">
        <f t="shared" si="16"/>
        <v>371.93033039420106</v>
      </c>
      <c r="E35" s="3">
        <f t="shared" ref="E35:F35" si="34">+E34</f>
        <v>0.73993188210048622</v>
      </c>
      <c r="F35" s="3">
        <f t="shared" si="34"/>
        <v>800</v>
      </c>
      <c r="G35" s="3">
        <f>+'[8]Colector Krahmer II'!$AB$25</f>
        <v>346.80739507119154</v>
      </c>
      <c r="H35" s="3">
        <f t="shared" si="17"/>
        <v>25.122935323009528</v>
      </c>
      <c r="L35" s="2">
        <f t="shared" si="24"/>
        <v>2028</v>
      </c>
      <c r="M35" s="1"/>
      <c r="N35" s="4"/>
      <c r="O35" s="3"/>
      <c r="P35" s="1"/>
      <c r="Q35" s="3"/>
      <c r="R35" s="1"/>
      <c r="T35" s="56">
        <f t="shared" si="25"/>
        <v>2028</v>
      </c>
      <c r="U35" s="9">
        <f>+'[8]Colector Krahmer II'!$V$25</f>
        <v>41713.525305752213</v>
      </c>
      <c r="V35" s="34">
        <f>+'[8]Colector Krahmer II'!$U$25</f>
        <v>74.908333941686649</v>
      </c>
      <c r="W35" s="44">
        <f t="shared" si="18"/>
        <v>2.3386111739848787</v>
      </c>
      <c r="X35" s="34">
        <f t="shared" si="19"/>
        <v>175.18146678061916</v>
      </c>
      <c r="Y35" s="34">
        <f t="shared" si="26"/>
        <v>14.98166678833733</v>
      </c>
      <c r="Z35" s="34">
        <f t="shared" si="20"/>
        <v>190.16313356895648</v>
      </c>
      <c r="AA35" s="34">
        <f>+'[8]Colector Krahmer II'!$AA$41</f>
        <v>156.64426150223505</v>
      </c>
      <c r="AB35" s="57">
        <f t="shared" si="27"/>
        <v>346.80739507119154</v>
      </c>
      <c r="AD35" s="46">
        <f t="shared" si="28"/>
        <v>346.80739507119154</v>
      </c>
      <c r="AE35" s="46">
        <f t="shared" si="29"/>
        <v>0</v>
      </c>
    </row>
    <row r="36" spans="2:31" x14ac:dyDescent="0.3">
      <c r="B36" s="2">
        <f t="shared" si="21"/>
        <v>2029</v>
      </c>
      <c r="C36" s="3">
        <f t="shared" si="22"/>
        <v>371.93033039420106</v>
      </c>
      <c r="D36" s="3">
        <f t="shared" si="16"/>
        <v>371.93033039420106</v>
      </c>
      <c r="E36" s="3">
        <f t="shared" ref="E36:F36" si="35">+E35</f>
        <v>0.73993188210048622</v>
      </c>
      <c r="F36" s="3">
        <f t="shared" si="35"/>
        <v>800</v>
      </c>
      <c r="G36" s="3">
        <f>+'[9]Colector Krahmer II'!$AB$25</f>
        <v>353.65573067319076</v>
      </c>
      <c r="H36" s="3">
        <f t="shared" si="17"/>
        <v>18.274599721010304</v>
      </c>
      <c r="L36" s="2">
        <f t="shared" si="24"/>
        <v>2029</v>
      </c>
      <c r="M36" s="1"/>
      <c r="N36" s="4"/>
      <c r="O36" s="3"/>
      <c r="P36" s="1"/>
      <c r="Q36" s="3"/>
      <c r="R36" s="1"/>
      <c r="T36" s="56">
        <f t="shared" si="25"/>
        <v>2029</v>
      </c>
      <c r="U36" s="9">
        <f>+'[9]Colector Krahmer II'!$V$25</f>
        <v>42037.286562367161</v>
      </c>
      <c r="V36" s="34">
        <f>+'[9]Colector Krahmer II'!$U$25</f>
        <v>76.492370583343103</v>
      </c>
      <c r="W36" s="44">
        <f t="shared" si="18"/>
        <v>2.3354169932483773</v>
      </c>
      <c r="X36" s="34">
        <f t="shared" si="19"/>
        <v>178.64158211419178</v>
      </c>
      <c r="Y36" s="34">
        <f t="shared" si="26"/>
        <v>15.298474116668622</v>
      </c>
      <c r="Z36" s="34">
        <f t="shared" si="20"/>
        <v>193.94005623086039</v>
      </c>
      <c r="AA36" s="34">
        <f>+'[9]Colector Krahmer II'!$AA$41</f>
        <v>159.71567444233034</v>
      </c>
      <c r="AB36" s="57">
        <f t="shared" si="27"/>
        <v>353.65573067319076</v>
      </c>
      <c r="AD36" s="46">
        <f t="shared" si="28"/>
        <v>353.65573067319076</v>
      </c>
      <c r="AE36" s="46">
        <f t="shared" si="29"/>
        <v>0</v>
      </c>
    </row>
    <row r="37" spans="2:31" x14ac:dyDescent="0.3">
      <c r="B37" s="2">
        <f t="shared" si="21"/>
        <v>2030</v>
      </c>
      <c r="C37" s="3">
        <f t="shared" si="22"/>
        <v>371.93033039420106</v>
      </c>
      <c r="D37" s="3">
        <f t="shared" si="16"/>
        <v>371.93033039420106</v>
      </c>
      <c r="E37" s="3">
        <f t="shared" ref="E37:F37" si="36">+E36</f>
        <v>0.73993188210048622</v>
      </c>
      <c r="F37" s="3">
        <f t="shared" si="36"/>
        <v>800</v>
      </c>
      <c r="G37" s="3">
        <f>+'[10]Colector Krahmer II'!$AB$25</f>
        <v>360.57157309815159</v>
      </c>
      <c r="H37" s="3">
        <f t="shared" si="17"/>
        <v>11.358757296049475</v>
      </c>
      <c r="L37" s="2">
        <f t="shared" si="24"/>
        <v>2030</v>
      </c>
      <c r="M37" s="3" t="str">
        <f t="shared" ref="M37:M41" si="37">IF(H37&gt;0,"-",-H37)</f>
        <v>-</v>
      </c>
      <c r="N37" s="4"/>
      <c r="O37" s="3"/>
      <c r="P37" s="1"/>
      <c r="Q37" s="1"/>
      <c r="R37" s="1"/>
      <c r="T37" s="56">
        <f t="shared" si="25"/>
        <v>2030</v>
      </c>
      <c r="U37" s="9">
        <f>+'[10]Colector Krahmer II'!$V$25</f>
        <v>42362.783804272272</v>
      </c>
      <c r="V37" s="34">
        <f>+'[10]Colector Krahmer II'!$U$25</f>
        <v>78.094439778049832</v>
      </c>
      <c r="W37" s="44">
        <f t="shared" si="18"/>
        <v>2.3322333025644602</v>
      </c>
      <c r="X37" s="34">
        <f t="shared" si="19"/>
        <v>182.13445319548251</v>
      </c>
      <c r="Y37" s="34">
        <f t="shared" si="26"/>
        <v>15.618887955609967</v>
      </c>
      <c r="Z37" s="34">
        <f t="shared" si="20"/>
        <v>197.75334115109249</v>
      </c>
      <c r="AA37" s="34">
        <f>+'[10]Colector Krahmer II'!$AA$41</f>
        <v>162.81823194705908</v>
      </c>
      <c r="AB37" s="57">
        <f t="shared" si="27"/>
        <v>360.57157309815159</v>
      </c>
      <c r="AD37" s="46">
        <f t="shared" si="28"/>
        <v>360.57157309815159</v>
      </c>
      <c r="AE37" s="46">
        <f t="shared" si="29"/>
        <v>0</v>
      </c>
    </row>
    <row r="38" spans="2:31" x14ac:dyDescent="0.3">
      <c r="B38" s="2">
        <f t="shared" si="21"/>
        <v>2031</v>
      </c>
      <c r="C38" s="3">
        <f t="shared" si="22"/>
        <v>371.93033039420106</v>
      </c>
      <c r="D38" s="3">
        <f t="shared" si="16"/>
        <v>371.93033039420106</v>
      </c>
      <c r="E38" s="3">
        <f t="shared" ref="E38:F38" si="38">+E37</f>
        <v>0.73993188210048622</v>
      </c>
      <c r="F38" s="3">
        <f t="shared" si="38"/>
        <v>800</v>
      </c>
      <c r="G38" s="3">
        <f>+'[11]Colector Krahmer II'!$AB$25</f>
        <v>367.56253517114743</v>
      </c>
      <c r="H38" s="3">
        <f t="shared" si="17"/>
        <v>4.3677952230536334</v>
      </c>
      <c r="L38" s="2">
        <f t="shared" si="24"/>
        <v>2031</v>
      </c>
      <c r="M38" s="3" t="str">
        <f t="shared" si="37"/>
        <v>-</v>
      </c>
      <c r="N38" s="4"/>
      <c r="O38" s="3"/>
      <c r="P38" s="1"/>
      <c r="Q38" s="1"/>
      <c r="R38" s="1"/>
      <c r="T38" s="56">
        <f t="shared" si="25"/>
        <v>2031</v>
      </c>
      <c r="U38" s="9">
        <f>+'[11]Colector Krahmer II'!$V$25</f>
        <v>42690.017031467527</v>
      </c>
      <c r="V38" s="34">
        <f>+'[11]Colector Krahmer II'!$U$25</f>
        <v>79.711583769381519</v>
      </c>
      <c r="W38" s="44">
        <f t="shared" si="18"/>
        <v>2.3290601148339247</v>
      </c>
      <c r="X38" s="34">
        <f t="shared" si="19"/>
        <v>185.65307044750972</v>
      </c>
      <c r="Y38" s="34">
        <f t="shared" si="26"/>
        <v>15.942316753876305</v>
      </c>
      <c r="Z38" s="34">
        <f t="shared" si="20"/>
        <v>201.59538720138602</v>
      </c>
      <c r="AA38" s="34">
        <f>+'[11]Colector Krahmer II'!$AA$41</f>
        <v>165.96714796976141</v>
      </c>
      <c r="AB38" s="57">
        <f t="shared" si="27"/>
        <v>367.56253517114743</v>
      </c>
      <c r="AD38" s="46">
        <f t="shared" si="28"/>
        <v>367.56253517114743</v>
      </c>
      <c r="AE38" s="46">
        <f t="shared" si="29"/>
        <v>0</v>
      </c>
    </row>
    <row r="39" spans="2:31" x14ac:dyDescent="0.3">
      <c r="B39" s="2">
        <f t="shared" si="21"/>
        <v>2032</v>
      </c>
      <c r="C39" s="3">
        <f t="shared" si="22"/>
        <v>371.93033039420106</v>
      </c>
      <c r="D39" s="3">
        <f t="shared" si="16"/>
        <v>371.93033039420106</v>
      </c>
      <c r="E39" s="3">
        <f t="shared" ref="E39:F39" si="39">+E38</f>
        <v>0.73993188210048622</v>
      </c>
      <c r="F39" s="3">
        <f t="shared" si="39"/>
        <v>800</v>
      </c>
      <c r="G39" s="3">
        <f>+'[12]Colector Krahmer II'!$AB$25</f>
        <v>374.63567526914051</v>
      </c>
      <c r="H39" s="3">
        <f t="shared" si="17"/>
        <v>-2.705344874939442</v>
      </c>
      <c r="L39" s="2">
        <f t="shared" si="24"/>
        <v>2032</v>
      </c>
      <c r="M39" s="3">
        <f t="shared" si="37"/>
        <v>2.705344874939442</v>
      </c>
      <c r="N39" s="4">
        <f>+F25</f>
        <v>460.72</v>
      </c>
      <c r="O39" s="3">
        <f>+'[17]Colector Krahmer II (c_Proy)'!$E$85</f>
        <v>560</v>
      </c>
      <c r="P39" s="3">
        <f>+'[17]Colector Krahmer II (c_Proy)'!$AL$85</f>
        <v>145.5576569820592</v>
      </c>
      <c r="Q39" s="3">
        <f>+P42/(1000)/(0.25*PI()*(S39/1000)^2)</f>
        <v>0.69390523648653724</v>
      </c>
      <c r="R39" s="3">
        <f t="shared" ref="R39:R41" si="40">+P39-M39</f>
        <v>142.85231210711976</v>
      </c>
      <c r="S39" s="12">
        <f>+'[17]Colector Krahmer II (c_Proy)'!$F$85</f>
        <v>516.79999999999995</v>
      </c>
      <c r="T39" s="56">
        <f t="shared" si="25"/>
        <v>2032</v>
      </c>
      <c r="U39" s="9">
        <f>+'[12]Colector Krahmer II'!$V$25</f>
        <v>43018.986243952953</v>
      </c>
      <c r="V39" s="34">
        <f>+'[12]Colector Krahmer II'!$U$25</f>
        <v>81.349851195557179</v>
      </c>
      <c r="W39" s="44">
        <f t="shared" si="18"/>
        <v>2.3258974413559494</v>
      </c>
      <c r="X39" s="34">
        <f t="shared" si="19"/>
        <v>189.21141075043366</v>
      </c>
      <c r="Y39" s="34">
        <f t="shared" si="26"/>
        <v>16.269970239111437</v>
      </c>
      <c r="Z39" s="34">
        <f t="shared" si="20"/>
        <v>205.4813809895451</v>
      </c>
      <c r="AA39" s="34">
        <f>+'[12]Colector Krahmer II'!$AA$41</f>
        <v>169.1542942795954</v>
      </c>
      <c r="AB39" s="57">
        <f t="shared" si="27"/>
        <v>374.63567526914051</v>
      </c>
      <c r="AD39" s="46">
        <f t="shared" si="28"/>
        <v>374.63567526914051</v>
      </c>
      <c r="AE39" s="46">
        <f t="shared" si="29"/>
        <v>0</v>
      </c>
    </row>
    <row r="40" spans="2:31" x14ac:dyDescent="0.3">
      <c r="B40" s="2">
        <f t="shared" si="21"/>
        <v>2033</v>
      </c>
      <c r="C40" s="3">
        <f t="shared" si="22"/>
        <v>371.93033039420106</v>
      </c>
      <c r="D40" s="3">
        <f t="shared" si="16"/>
        <v>371.93033039420106</v>
      </c>
      <c r="E40" s="3">
        <f t="shared" ref="E40:F40" si="41">+E39</f>
        <v>0.73993188210048622</v>
      </c>
      <c r="F40" s="3">
        <f t="shared" si="41"/>
        <v>800</v>
      </c>
      <c r="G40" s="3">
        <f>+'[13]Colector Krahmer II'!$AB$25</f>
        <v>381.71978303153742</v>
      </c>
      <c r="H40" s="3">
        <f t="shared" si="17"/>
        <v>-9.7894526373363533</v>
      </c>
      <c r="L40" s="2">
        <f t="shared" si="24"/>
        <v>2033</v>
      </c>
      <c r="M40" s="3">
        <f t="shared" si="37"/>
        <v>9.7894526373363533</v>
      </c>
      <c r="N40" s="4">
        <f>+N39</f>
        <v>460.72</v>
      </c>
      <c r="O40" s="3">
        <f>+O39</f>
        <v>560</v>
      </c>
      <c r="P40" s="3">
        <f>+P39</f>
        <v>145.5576569820592</v>
      </c>
      <c r="Q40" s="3">
        <f>+Q39</f>
        <v>0.69390523648653724</v>
      </c>
      <c r="R40" s="3">
        <f t="shared" si="40"/>
        <v>135.76820434472285</v>
      </c>
      <c r="T40" s="56">
        <f t="shared" si="25"/>
        <v>2033</v>
      </c>
      <c r="U40" s="9">
        <f>+'[13]Colector Krahmer II'!$V$25</f>
        <v>43349.98077261023</v>
      </c>
      <c r="V40" s="34">
        <f>+'[13]Colector Krahmer II'!$U$25</f>
        <v>82.994021296211727</v>
      </c>
      <c r="W40" s="44">
        <f t="shared" si="18"/>
        <v>2.3227425459086017</v>
      </c>
      <c r="X40" s="34">
        <f t="shared" si="19"/>
        <v>192.77374432075553</v>
      </c>
      <c r="Y40" s="34">
        <f t="shared" si="26"/>
        <v>16.598804259242346</v>
      </c>
      <c r="Z40" s="34">
        <f t="shared" si="20"/>
        <v>209.37254857999787</v>
      </c>
      <c r="AA40" s="34">
        <f>+'[13]Colector Krahmer II'!$AA$41</f>
        <v>172.34723445153952</v>
      </c>
      <c r="AB40" s="57">
        <f t="shared" si="27"/>
        <v>381.71978303153742</v>
      </c>
      <c r="AD40" s="46">
        <f t="shared" si="28"/>
        <v>381.71978303153742</v>
      </c>
      <c r="AE40" s="46">
        <f t="shared" si="29"/>
        <v>0</v>
      </c>
    </row>
    <row r="41" spans="2:31" x14ac:dyDescent="0.3">
      <c r="B41" s="2">
        <f t="shared" si="21"/>
        <v>2034</v>
      </c>
      <c r="C41" s="3">
        <f t="shared" si="22"/>
        <v>371.93033039420106</v>
      </c>
      <c r="D41" s="3">
        <f t="shared" si="16"/>
        <v>371.93033039420106</v>
      </c>
      <c r="E41" s="3">
        <f t="shared" ref="E41:F41" si="42">+E40</f>
        <v>0.73993188210048622</v>
      </c>
      <c r="F41" s="3">
        <f t="shared" si="42"/>
        <v>800</v>
      </c>
      <c r="G41" s="3">
        <f>+'[14]Colector Krahmer II'!$AB$25</f>
        <v>388.8721494298054</v>
      </c>
      <c r="H41" s="3">
        <f t="shared" si="17"/>
        <v>-16.94181903560434</v>
      </c>
      <c r="L41" s="2">
        <f t="shared" si="24"/>
        <v>2034</v>
      </c>
      <c r="M41" s="3">
        <f t="shared" si="37"/>
        <v>16.94181903560434</v>
      </c>
      <c r="N41" s="4">
        <f>+N40</f>
        <v>460.72</v>
      </c>
      <c r="O41" s="3">
        <f>+O40</f>
        <v>560</v>
      </c>
      <c r="P41" s="3">
        <f>+P40</f>
        <v>145.5576569820592</v>
      </c>
      <c r="Q41" s="3">
        <f t="shared" ref="Q41:Q42" si="43">+Q40</f>
        <v>0.69390523648653724</v>
      </c>
      <c r="R41" s="3">
        <f t="shared" si="40"/>
        <v>128.61583794645486</v>
      </c>
      <c r="T41" s="56">
        <f t="shared" si="25"/>
        <v>2034</v>
      </c>
      <c r="U41" s="9">
        <f>+'[14]Colector Krahmer II'!$V$25</f>
        <v>43682.132624794278</v>
      </c>
      <c r="V41" s="34">
        <f>+'[14]Colector Krahmer II'!$U$25</f>
        <v>84.656410327824545</v>
      </c>
      <c r="W41" s="44">
        <f t="shared" si="18"/>
        <v>2.3196036746024502</v>
      </c>
      <c r="X41" s="34">
        <f t="shared" si="19"/>
        <v>196.36932047507463</v>
      </c>
      <c r="Y41" s="34">
        <f t="shared" si="26"/>
        <v>16.931282065564911</v>
      </c>
      <c r="Z41" s="34">
        <f t="shared" si="20"/>
        <v>213.30060254063955</v>
      </c>
      <c r="AA41" s="34">
        <f>+'[14]Colector Krahmer II'!$AA$41</f>
        <v>175.57154688916589</v>
      </c>
      <c r="AB41" s="57">
        <f t="shared" si="27"/>
        <v>388.8721494298054</v>
      </c>
      <c r="AD41" s="46">
        <f t="shared" si="28"/>
        <v>388.8721494298054</v>
      </c>
      <c r="AE41" s="46">
        <f t="shared" si="29"/>
        <v>0</v>
      </c>
    </row>
    <row r="42" spans="2:31" x14ac:dyDescent="0.3">
      <c r="B42" s="2">
        <f t="shared" si="21"/>
        <v>2035</v>
      </c>
      <c r="C42" s="3">
        <f t="shared" si="22"/>
        <v>371.93033039420106</v>
      </c>
      <c r="D42" s="3">
        <f t="shared" si="16"/>
        <v>371.93033039420106</v>
      </c>
      <c r="E42" s="3">
        <f t="shared" ref="E42:F42" si="44">+E41</f>
        <v>0.73993188210048622</v>
      </c>
      <c r="F42" s="3">
        <f t="shared" si="44"/>
        <v>800</v>
      </c>
      <c r="G42" s="3">
        <f>+'[15]Colector Krahmer II'!$AB$25</f>
        <v>396.07672822101523</v>
      </c>
      <c r="H42" s="3">
        <f t="shared" si="17"/>
        <v>-24.146397826814166</v>
      </c>
      <c r="L42" s="2">
        <f t="shared" si="24"/>
        <v>2035</v>
      </c>
      <c r="M42" s="3">
        <f t="shared" ref="M42:M43" si="45">IF(H42&gt;0,"-",-H42)</f>
        <v>24.146397826814166</v>
      </c>
      <c r="N42" s="4">
        <f>+F25</f>
        <v>460.72</v>
      </c>
      <c r="O42" s="3">
        <f>+'[17]Colector Krahmer II (c_Proy)'!$E$85</f>
        <v>560</v>
      </c>
      <c r="P42" s="3">
        <f>+'[17]Colector Krahmer II (c_Proy)'!$AL$85</f>
        <v>145.5576569820592</v>
      </c>
      <c r="Q42" s="3">
        <f t="shared" si="43"/>
        <v>0.69390523648653724</v>
      </c>
      <c r="R42" s="3">
        <f t="shared" ref="R42:R43" si="46">+P42-M42</f>
        <v>121.41125915524503</v>
      </c>
      <c r="T42" s="56">
        <f t="shared" si="25"/>
        <v>2035</v>
      </c>
      <c r="U42" s="9">
        <f>+'[15]Colector Krahmer II'!$V$25</f>
        <v>44016.599124031884</v>
      </c>
      <c r="V42" s="34">
        <f>+'[15]Colector Krahmer II'!$U$25</f>
        <v>86.333874156062308</v>
      </c>
      <c r="W42" s="44">
        <f t="shared" si="18"/>
        <v>2.3164698969930217</v>
      </c>
      <c r="X42" s="34">
        <f t="shared" si="19"/>
        <v>199.98982057330215</v>
      </c>
      <c r="Y42" s="34">
        <f t="shared" si="26"/>
        <v>17.266774831212462</v>
      </c>
      <c r="Z42" s="34">
        <f t="shared" si="20"/>
        <v>217.25659540451463</v>
      </c>
      <c r="AA42" s="34">
        <f>+'[15]Colector Krahmer II'!$AA$41</f>
        <v>178.8201328165006</v>
      </c>
      <c r="AB42" s="57">
        <f t="shared" si="27"/>
        <v>396.07672822101523</v>
      </c>
      <c r="AD42" s="46">
        <f t="shared" si="28"/>
        <v>396.07672822101523</v>
      </c>
      <c r="AE42" s="46">
        <f t="shared" si="29"/>
        <v>0</v>
      </c>
    </row>
    <row r="43" spans="2:31" x14ac:dyDescent="0.3">
      <c r="B43" s="2">
        <f t="shared" si="21"/>
        <v>2036</v>
      </c>
      <c r="C43" s="3">
        <f t="shared" si="22"/>
        <v>371.93033039420106</v>
      </c>
      <c r="D43" s="3">
        <f t="shared" si="16"/>
        <v>371.93033039420106</v>
      </c>
      <c r="E43" s="3">
        <f t="shared" ref="E43:F43" si="47">+E42</f>
        <v>0.73993188210048622</v>
      </c>
      <c r="F43" s="3">
        <f t="shared" si="47"/>
        <v>800</v>
      </c>
      <c r="G43" s="3">
        <f>+'[16]Colector Krahmer II'!$AB$25</f>
        <v>403.36326032105217</v>
      </c>
      <c r="H43" s="3">
        <f t="shared" si="17"/>
        <v>-31.432929926851102</v>
      </c>
      <c r="L43" s="2">
        <f t="shared" si="24"/>
        <v>2036</v>
      </c>
      <c r="M43" s="3">
        <f t="shared" si="45"/>
        <v>31.432929926851102</v>
      </c>
      <c r="N43" s="4">
        <f>+N42</f>
        <v>460.72</v>
      </c>
      <c r="O43" s="3">
        <f t="shared" ref="O43:Q44" si="48">+O42</f>
        <v>560</v>
      </c>
      <c r="P43" s="3">
        <f t="shared" si="48"/>
        <v>145.5576569820592</v>
      </c>
      <c r="Q43" s="3">
        <f t="shared" si="48"/>
        <v>0.69390523648653724</v>
      </c>
      <c r="R43" s="3">
        <f t="shared" si="46"/>
        <v>114.1247270552081</v>
      </c>
      <c r="T43" s="56">
        <f t="shared" si="25"/>
        <v>2036</v>
      </c>
      <c r="U43" s="9">
        <f>+'[16]Colector Krahmer II'!$V$25</f>
        <v>44352.512277677939</v>
      </c>
      <c r="V43" s="34">
        <f>+'[16]Colector Krahmer II'!$U$25</f>
        <v>88.032730398677444</v>
      </c>
      <c r="W43" s="44">
        <f t="shared" si="18"/>
        <v>2.3133493859393583</v>
      </c>
      <c r="X43" s="34">
        <f t="shared" si="19"/>
        <v>203.65046281034554</v>
      </c>
      <c r="Y43" s="34">
        <f t="shared" si="26"/>
        <v>17.606546079735491</v>
      </c>
      <c r="Z43" s="34">
        <f t="shared" si="20"/>
        <v>221.25700889008104</v>
      </c>
      <c r="AA43" s="34">
        <f>+'[16]Colector Krahmer II'!$AA$41</f>
        <v>182.1062514309711</v>
      </c>
      <c r="AB43" s="57">
        <f t="shared" si="27"/>
        <v>403.36326032105217</v>
      </c>
      <c r="AD43" s="46">
        <f t="shared" si="28"/>
        <v>403.36326032105217</v>
      </c>
      <c r="AE43" s="46">
        <f t="shared" si="29"/>
        <v>0</v>
      </c>
    </row>
    <row r="44" spans="2:31" ht="13.8" thickBot="1" x14ac:dyDescent="0.35">
      <c r="B44" s="2">
        <f t="shared" si="21"/>
        <v>2037</v>
      </c>
      <c r="C44" s="3">
        <f t="shared" si="22"/>
        <v>371.93033039420106</v>
      </c>
      <c r="D44" s="3">
        <f t="shared" si="16"/>
        <v>371.93033039420106</v>
      </c>
      <c r="E44" s="3">
        <f t="shared" ref="E44:F44" si="49">+E43</f>
        <v>0.73993188210048622</v>
      </c>
      <c r="F44" s="3">
        <f t="shared" si="49"/>
        <v>800</v>
      </c>
      <c r="G44" s="3">
        <f>+'[17]Colector Krahmer II'!$AB$25</f>
        <v>410.6582278519777</v>
      </c>
      <c r="H44" s="3">
        <f t="shared" si="17"/>
        <v>-38.727897457776635</v>
      </c>
      <c r="I44" s="13">
        <f>+G44/G29-1</f>
        <v>0.34912298711202783</v>
      </c>
      <c r="L44" s="2">
        <f t="shared" si="24"/>
        <v>2037</v>
      </c>
      <c r="M44" s="3">
        <f>IF(H44&gt;0,"-",-H44)</f>
        <v>38.727897457776635</v>
      </c>
      <c r="N44" s="4">
        <f>+N43</f>
        <v>460.72</v>
      </c>
      <c r="O44" s="3">
        <f t="shared" si="48"/>
        <v>560</v>
      </c>
      <c r="P44" s="3">
        <f t="shared" si="48"/>
        <v>145.5576569820592</v>
      </c>
      <c r="Q44" s="3">
        <f t="shared" si="48"/>
        <v>0.69390523648653724</v>
      </c>
      <c r="R44" s="3">
        <f>+P44-M44</f>
        <v>106.82975952428257</v>
      </c>
      <c r="T44" s="58">
        <f t="shared" si="25"/>
        <v>2037</v>
      </c>
      <c r="U44" s="59">
        <f>+'[17]Colector Krahmer II'!$V$25</f>
        <v>44690.450747495866</v>
      </c>
      <c r="V44" s="60">
        <f>+'[17]Colector Krahmer II'!$U$25</f>
        <v>89.737033958330088</v>
      </c>
      <c r="W44" s="61">
        <f t="shared" si="18"/>
        <v>2.3102367692745758</v>
      </c>
      <c r="X44" s="60">
        <f t="shared" si="19"/>
        <v>207.3137954161754</v>
      </c>
      <c r="Y44" s="60">
        <f t="shared" si="26"/>
        <v>17.947406791666019</v>
      </c>
      <c r="Z44" s="60">
        <f t="shared" si="20"/>
        <v>225.26120220784142</v>
      </c>
      <c r="AA44" s="60">
        <f>+'[17]Colector Krahmer II'!$AA$41</f>
        <v>185.39702564413628</v>
      </c>
      <c r="AB44" s="62">
        <f t="shared" si="27"/>
        <v>410.6582278519777</v>
      </c>
      <c r="AD44" s="46">
        <f t="shared" si="28"/>
        <v>410.6582278519777</v>
      </c>
      <c r="AE44" s="46">
        <f t="shared" si="29"/>
        <v>0</v>
      </c>
    </row>
    <row r="45" spans="2:31" x14ac:dyDescent="0.3">
      <c r="L45" s="9"/>
    </row>
    <row r="47" spans="2:31" ht="13.8" thickBot="1" x14ac:dyDescent="0.35"/>
    <row r="48" spans="2:31" x14ac:dyDescent="0.3">
      <c r="B48" s="5" t="s">
        <v>69</v>
      </c>
      <c r="E48" s="6" t="s">
        <v>7</v>
      </c>
      <c r="F48" s="7">
        <f>+SUM('[17]Colector Krahmer II (c_Proy)'!$M$26:$M$41)</f>
        <v>1530.05</v>
      </c>
      <c r="G48" s="8" t="s">
        <v>8</v>
      </c>
      <c r="T48" s="47"/>
      <c r="U48" s="48" t="s">
        <v>98</v>
      </c>
      <c r="V48" s="49"/>
      <c r="W48" s="49"/>
      <c r="X48" s="49"/>
      <c r="Y48" s="49"/>
      <c r="Z48" s="49"/>
      <c r="AA48" s="49"/>
      <c r="AB48" s="50"/>
    </row>
    <row r="49" spans="1:31" x14ac:dyDescent="0.3">
      <c r="B49" s="8" t="s">
        <v>87</v>
      </c>
      <c r="T49" s="51"/>
      <c r="U49" s="42" t="s">
        <v>149</v>
      </c>
      <c r="W49" s="12" t="s">
        <v>150</v>
      </c>
      <c r="AB49" s="52"/>
    </row>
    <row r="50" spans="1:31" x14ac:dyDescent="0.3">
      <c r="B50" s="96" t="s">
        <v>0</v>
      </c>
      <c r="C50" s="96" t="s">
        <v>20</v>
      </c>
      <c r="D50" s="96" t="s">
        <v>1</v>
      </c>
      <c r="E50" s="96"/>
      <c r="F50" s="96"/>
      <c r="G50" s="96" t="s">
        <v>21</v>
      </c>
      <c r="H50" s="96" t="s">
        <v>2</v>
      </c>
      <c r="T50" s="51"/>
      <c r="Y50" s="53">
        <v>0.2</v>
      </c>
      <c r="AA50" s="43" t="s">
        <v>94</v>
      </c>
      <c r="AB50" s="52"/>
    </row>
    <row r="51" spans="1:31" x14ac:dyDescent="0.3">
      <c r="B51" s="96"/>
      <c r="C51" s="96"/>
      <c r="D51" s="18" t="s">
        <v>3</v>
      </c>
      <c r="E51" s="18" t="s">
        <v>4</v>
      </c>
      <c r="F51" s="18" t="s">
        <v>5</v>
      </c>
      <c r="G51" s="96"/>
      <c r="H51" s="96"/>
      <c r="L51" s="9"/>
      <c r="T51" s="54" t="s">
        <v>0</v>
      </c>
      <c r="U51" s="45" t="s">
        <v>90</v>
      </c>
      <c r="V51" s="45" t="s">
        <v>99</v>
      </c>
      <c r="W51" s="45" t="s">
        <v>91</v>
      </c>
      <c r="X51" s="45" t="s">
        <v>92</v>
      </c>
      <c r="Y51" s="45" t="s">
        <v>93</v>
      </c>
      <c r="Z51" s="45" t="s">
        <v>100</v>
      </c>
      <c r="AA51" s="45"/>
      <c r="AB51" s="55" t="s">
        <v>101</v>
      </c>
      <c r="AC51" s="45"/>
      <c r="AD51" s="45" t="s">
        <v>92</v>
      </c>
      <c r="AE51" s="45" t="s">
        <v>97</v>
      </c>
    </row>
    <row r="52" spans="1:31" x14ac:dyDescent="0.3">
      <c r="A52" s="12" t="s">
        <v>6</v>
      </c>
      <c r="B52" s="2">
        <f>+B29</f>
        <v>2022</v>
      </c>
      <c r="C52" s="3">
        <f>+SUMPRODUCT('[17]Colector Krahmer II'!$AL$26:$AL$41,'[17]Colector Krahmer II'!$M$26:$M$41)/F48</f>
        <v>434.40118949103453</v>
      </c>
      <c r="D52" s="3">
        <f t="shared" ref="D52:D67" si="50">+C52</f>
        <v>434.40118949103453</v>
      </c>
      <c r="E52" s="3">
        <f>D52/(0.25*PI()*(F52/1000)^2)/1000</f>
        <v>0.8642137074062155</v>
      </c>
      <c r="F52" s="3">
        <f>+SUMPRODUCT('[17]Colector Krahmer II'!$F$26:$F$41,'[17]Colector Krahmer II'!$M$26:$M$41)/F48</f>
        <v>800</v>
      </c>
      <c r="G52" s="3">
        <f>+'[2]Colector Krahmer II'!$AB$41</f>
        <v>338.5103016176339</v>
      </c>
      <c r="H52" s="3">
        <f t="shared" ref="H52:H67" si="51">+D52-G52</f>
        <v>95.890887873400629</v>
      </c>
      <c r="L52" s="9"/>
      <c r="T52" s="56">
        <f>+B52</f>
        <v>2022</v>
      </c>
      <c r="U52" s="9">
        <f>+'[2]Colector Krahmer II'!$V$41</f>
        <v>48929.890974215028</v>
      </c>
      <c r="V52" s="34">
        <f>+'[2]Colector Krahmer II'!$U$41</f>
        <v>81.214076217724283</v>
      </c>
      <c r="W52" s="44">
        <f t="shared" ref="W52" si="52">1+(14/(4+(SQRT(U52/1000))))</f>
        <v>2.2733071576566788</v>
      </c>
      <c r="X52" s="34">
        <f t="shared" ref="X52" si="53">+W52*V52</f>
        <v>184.62454076822766</v>
      </c>
      <c r="Y52" s="34">
        <f>+V52*$Y$4</f>
        <v>16.242815243544857</v>
      </c>
      <c r="Z52" s="34">
        <f t="shared" ref="Z52" si="54">+Y52+X52</f>
        <v>200.86735601177253</v>
      </c>
      <c r="AA52" s="34">
        <f>+'[2]Colector Krahmer II'!$AA$41</f>
        <v>137.6429456058614</v>
      </c>
      <c r="AB52" s="57">
        <f>+AA52+Z52</f>
        <v>338.5103016176339</v>
      </c>
      <c r="AD52" s="46">
        <f>+G52</f>
        <v>338.5103016176339</v>
      </c>
      <c r="AE52" s="46">
        <f>+AB52-AD52</f>
        <v>0</v>
      </c>
    </row>
    <row r="53" spans="1:31" x14ac:dyDescent="0.3">
      <c r="B53" s="2">
        <f t="shared" ref="B53:B67" si="55">+B52+1</f>
        <v>2023</v>
      </c>
      <c r="C53" s="3">
        <f t="shared" ref="C53:C67" si="56">+C52</f>
        <v>434.40118949103453</v>
      </c>
      <c r="D53" s="3">
        <f t="shared" si="50"/>
        <v>434.40118949103453</v>
      </c>
      <c r="E53" s="3">
        <f t="shared" ref="E53:F53" si="57">+E52</f>
        <v>0.8642137074062155</v>
      </c>
      <c r="F53" s="3">
        <f t="shared" si="57"/>
        <v>800</v>
      </c>
      <c r="G53" s="3">
        <f>+'[3]Colector Krahmer II'!$AB$41</f>
        <v>348.43282345235411</v>
      </c>
      <c r="H53" s="3">
        <f t="shared" si="51"/>
        <v>85.968366038680415</v>
      </c>
      <c r="L53" s="9"/>
      <c r="T53" s="56">
        <f t="shared" ref="T53:T67" si="58">+B53</f>
        <v>2023</v>
      </c>
      <c r="U53" s="9">
        <f>+'[3]Colector Krahmer II'!$V$41</f>
        <v>49318.889314873377</v>
      </c>
      <c r="V53" s="34">
        <f>+'[3]Colector Krahmer II'!$U$41</f>
        <v>83.726332390691411</v>
      </c>
      <c r="W53" s="44">
        <f t="shared" ref="W53:W67" si="59">1+(14/(4+(SQRT(U53/1000))))</f>
        <v>2.2701015261290278</v>
      </c>
      <c r="X53" s="34">
        <f t="shared" ref="X53:X67" si="60">+W53*V53</f>
        <v>190.06727493729483</v>
      </c>
      <c r="Y53" s="34">
        <f t="shared" ref="Y53:Y67" si="61">+V53*$Y$4</f>
        <v>16.745266478138284</v>
      </c>
      <c r="Z53" s="34">
        <f t="shared" ref="Z53:Z67" si="62">+Y53+X53</f>
        <v>206.81254141543312</v>
      </c>
      <c r="AA53" s="34">
        <f>+'[3]Colector Krahmer II'!$AA$41</f>
        <v>141.62028203692103</v>
      </c>
      <c r="AB53" s="57">
        <f t="shared" ref="AB53:AB67" si="63">+AA53+Z53</f>
        <v>348.43282345235411</v>
      </c>
      <c r="AD53" s="46">
        <f t="shared" ref="AD53:AD67" si="64">+G53</f>
        <v>348.43282345235411</v>
      </c>
      <c r="AE53" s="46">
        <f t="shared" ref="AE53:AE67" si="65">+AB53-AD53</f>
        <v>0</v>
      </c>
    </row>
    <row r="54" spans="1:31" x14ac:dyDescent="0.3">
      <c r="B54" s="2">
        <f t="shared" si="55"/>
        <v>2024</v>
      </c>
      <c r="C54" s="3">
        <f t="shared" si="56"/>
        <v>434.40118949103453</v>
      </c>
      <c r="D54" s="3">
        <f t="shared" si="50"/>
        <v>434.40118949103453</v>
      </c>
      <c r="E54" s="3">
        <f t="shared" ref="E54:F54" si="66">+E53</f>
        <v>0.8642137074062155</v>
      </c>
      <c r="F54" s="3">
        <f t="shared" si="66"/>
        <v>800</v>
      </c>
      <c r="G54" s="3">
        <f>+'[4]Colector Krahmer II'!$AB$41</f>
        <v>355.81315517411463</v>
      </c>
      <c r="H54" s="3">
        <f t="shared" si="51"/>
        <v>78.588034316919902</v>
      </c>
      <c r="L54" s="9"/>
      <c r="T54" s="56">
        <f t="shared" si="58"/>
        <v>2024</v>
      </c>
      <c r="U54" s="9">
        <f>+'[4]Colector Krahmer II'!$V$41</f>
        <v>49709.673690153679</v>
      </c>
      <c r="V54" s="34">
        <f>+'[4]Colector Krahmer II'!$U$41</f>
        <v>85.625836728717843</v>
      </c>
      <c r="W54" s="44">
        <f t="shared" si="59"/>
        <v>2.2669099958804408</v>
      </c>
      <c r="X54" s="34">
        <f t="shared" si="60"/>
        <v>194.10606518595708</v>
      </c>
      <c r="Y54" s="34">
        <f t="shared" si="61"/>
        <v>17.12516734574357</v>
      </c>
      <c r="Z54" s="34">
        <f t="shared" si="62"/>
        <v>211.23123253170064</v>
      </c>
      <c r="AA54" s="34">
        <f>+'[4]Colector Krahmer II'!$AA$41</f>
        <v>144.58192264241401</v>
      </c>
      <c r="AB54" s="57">
        <f t="shared" si="63"/>
        <v>355.81315517411463</v>
      </c>
      <c r="AD54" s="46">
        <f t="shared" si="64"/>
        <v>355.81315517411463</v>
      </c>
      <c r="AE54" s="46">
        <f t="shared" si="65"/>
        <v>0</v>
      </c>
    </row>
    <row r="55" spans="1:31" x14ac:dyDescent="0.3">
      <c r="B55" s="2">
        <f t="shared" si="55"/>
        <v>2025</v>
      </c>
      <c r="C55" s="3">
        <f t="shared" si="56"/>
        <v>434.40118949103453</v>
      </c>
      <c r="D55" s="3">
        <f t="shared" si="50"/>
        <v>434.40118949103453</v>
      </c>
      <c r="E55" s="3">
        <f t="shared" ref="E55:F55" si="67">+E54</f>
        <v>0.8642137074062155</v>
      </c>
      <c r="F55" s="3">
        <f t="shared" si="67"/>
        <v>800</v>
      </c>
      <c r="G55" s="3">
        <f>+'[5]Colector Krahmer II'!$AB$41</f>
        <v>363.2125399490011</v>
      </c>
      <c r="H55" s="3">
        <f t="shared" si="51"/>
        <v>71.188649542033431</v>
      </c>
      <c r="L55" s="9"/>
      <c r="T55" s="56">
        <f t="shared" si="58"/>
        <v>2025</v>
      </c>
      <c r="U55" s="9">
        <f>+'[5]Colector Krahmer II'!$V$41</f>
        <v>50101.88689313153</v>
      </c>
      <c r="V55" s="34">
        <f>+'[5]Colector Krahmer II'!$U$41</f>
        <v>87.533871914889303</v>
      </c>
      <c r="W55" s="44">
        <f t="shared" si="59"/>
        <v>2.2637353777137283</v>
      </c>
      <c r="X55" s="34">
        <f t="shared" si="60"/>
        <v>198.15352260199705</v>
      </c>
      <c r="Y55" s="34">
        <f t="shared" si="61"/>
        <v>17.506774382977863</v>
      </c>
      <c r="Z55" s="34">
        <f t="shared" si="62"/>
        <v>215.66029698497491</v>
      </c>
      <c r="AA55" s="34">
        <f>+'[5]Colector Krahmer II'!$AA$41</f>
        <v>147.55224296402622</v>
      </c>
      <c r="AB55" s="57">
        <f t="shared" si="63"/>
        <v>363.2125399490011</v>
      </c>
      <c r="AD55" s="46">
        <f t="shared" si="64"/>
        <v>363.2125399490011</v>
      </c>
      <c r="AE55" s="46">
        <f t="shared" si="65"/>
        <v>0</v>
      </c>
    </row>
    <row r="56" spans="1:31" x14ac:dyDescent="0.3">
      <c r="B56" s="2">
        <f t="shared" si="55"/>
        <v>2026</v>
      </c>
      <c r="C56" s="3">
        <f t="shared" si="56"/>
        <v>434.40118949103453</v>
      </c>
      <c r="D56" s="3">
        <f t="shared" si="50"/>
        <v>434.40118949103453</v>
      </c>
      <c r="E56" s="3">
        <f t="shared" ref="E56:F56" si="68">+E55</f>
        <v>0.8642137074062155</v>
      </c>
      <c r="F56" s="3">
        <f t="shared" si="68"/>
        <v>800</v>
      </c>
      <c r="G56" s="3">
        <f>+'[6]Colector Krahmer II'!$AB$41</f>
        <v>370.68682695949235</v>
      </c>
      <c r="H56" s="3">
        <f t="shared" si="51"/>
        <v>63.714362531542179</v>
      </c>
      <c r="L56" s="9"/>
      <c r="T56" s="56">
        <f t="shared" si="58"/>
        <v>2026</v>
      </c>
      <c r="U56" s="9">
        <f>+'[6]Colector Krahmer II'!$V$41</f>
        <v>50496.243337655695</v>
      </c>
      <c r="V56" s="34">
        <f>+'[6]Colector Krahmer II'!$U$41</f>
        <v>89.464251781810475</v>
      </c>
      <c r="W56" s="44">
        <f t="shared" si="59"/>
        <v>2.2605718217094068</v>
      </c>
      <c r="X56" s="34">
        <f t="shared" si="60"/>
        <v>202.24036662827635</v>
      </c>
      <c r="Y56" s="34">
        <f t="shared" si="61"/>
        <v>17.892850356362096</v>
      </c>
      <c r="Z56" s="34">
        <f t="shared" si="62"/>
        <v>220.13321698463844</v>
      </c>
      <c r="AA56" s="34">
        <f>+'[6]Colector Krahmer II'!$AA$41</f>
        <v>150.55360997485394</v>
      </c>
      <c r="AB56" s="57">
        <f t="shared" si="63"/>
        <v>370.68682695949235</v>
      </c>
      <c r="AD56" s="46">
        <f t="shared" si="64"/>
        <v>370.68682695949235</v>
      </c>
      <c r="AE56" s="46">
        <f t="shared" si="65"/>
        <v>0</v>
      </c>
    </row>
    <row r="57" spans="1:31" x14ac:dyDescent="0.3">
      <c r="B57" s="2">
        <f t="shared" si="55"/>
        <v>2027</v>
      </c>
      <c r="C57" s="3">
        <f t="shared" si="56"/>
        <v>434.40118949103453</v>
      </c>
      <c r="D57" s="3">
        <f t="shared" si="50"/>
        <v>434.40118949103453</v>
      </c>
      <c r="E57" s="3">
        <f t="shared" ref="E57:F57" si="69">+E56</f>
        <v>0.8642137074062155</v>
      </c>
      <c r="F57" s="3">
        <f t="shared" si="69"/>
        <v>800</v>
      </c>
      <c r="G57" s="3">
        <f>+'[7]Colector Krahmer II'!$AB$41</f>
        <v>378.22197828897077</v>
      </c>
      <c r="H57" s="3">
        <f t="shared" si="51"/>
        <v>56.179211202063755</v>
      </c>
      <c r="L57" s="9"/>
      <c r="T57" s="56">
        <f t="shared" si="58"/>
        <v>2027</v>
      </c>
      <c r="U57" s="9">
        <f>+'[7]Colector Krahmer II'!$V$41</f>
        <v>50892.385816801805</v>
      </c>
      <c r="V57" s="34">
        <f>+'[7]Colector Krahmer II'!$U$41</f>
        <v>91.413506366438185</v>
      </c>
      <c r="W57" s="44">
        <f t="shared" si="59"/>
        <v>2.2574221644941135</v>
      </c>
      <c r="X57" s="34">
        <f t="shared" si="60"/>
        <v>206.35887540572131</v>
      </c>
      <c r="Y57" s="34">
        <f t="shared" si="61"/>
        <v>18.282701273287639</v>
      </c>
      <c r="Z57" s="34">
        <f t="shared" si="62"/>
        <v>224.64157667900895</v>
      </c>
      <c r="AA57" s="34">
        <f>+'[7]Colector Krahmer II'!$AA$41</f>
        <v>153.58040160996183</v>
      </c>
      <c r="AB57" s="57">
        <f t="shared" si="63"/>
        <v>378.22197828897077</v>
      </c>
      <c r="AD57" s="46">
        <f t="shared" si="64"/>
        <v>378.22197828897077</v>
      </c>
      <c r="AE57" s="46">
        <f t="shared" si="65"/>
        <v>0</v>
      </c>
    </row>
    <row r="58" spans="1:31" x14ac:dyDescent="0.3">
      <c r="B58" s="2">
        <f t="shared" si="55"/>
        <v>2028</v>
      </c>
      <c r="C58" s="3">
        <f t="shared" si="56"/>
        <v>434.40118949103453</v>
      </c>
      <c r="D58" s="3">
        <f t="shared" si="50"/>
        <v>434.40118949103453</v>
      </c>
      <c r="E58" s="3">
        <f t="shared" ref="E58:F58" si="70">+E57</f>
        <v>0.8642137074062155</v>
      </c>
      <c r="F58" s="3">
        <f t="shared" si="70"/>
        <v>800</v>
      </c>
      <c r="G58" s="3">
        <f>+'[8]Colector Krahmer II'!$AB$41</f>
        <v>385.84703301843456</v>
      </c>
      <c r="H58" s="3">
        <f t="shared" si="51"/>
        <v>48.554156472599971</v>
      </c>
      <c r="L58" s="9"/>
      <c r="T58" s="56">
        <f t="shared" si="58"/>
        <v>2028</v>
      </c>
      <c r="U58" s="9">
        <f>+'[8]Colector Krahmer II'!$V$41</f>
        <v>51290.671537494243</v>
      </c>
      <c r="V58" s="34">
        <f>+'[8]Colector Krahmer II'!$U$41</f>
        <v>93.388872212577795</v>
      </c>
      <c r="W58" s="44">
        <f t="shared" si="59"/>
        <v>2.254283535992097</v>
      </c>
      <c r="X58" s="34">
        <f t="shared" si="60"/>
        <v>210.52499707368395</v>
      </c>
      <c r="Y58" s="34">
        <f t="shared" si="61"/>
        <v>18.67777444251556</v>
      </c>
      <c r="Z58" s="34">
        <f t="shared" si="62"/>
        <v>229.2027715161995</v>
      </c>
      <c r="AA58" s="34">
        <f>+'[8]Colector Krahmer II'!$AA$41</f>
        <v>156.64426150223505</v>
      </c>
      <c r="AB58" s="57">
        <f t="shared" si="63"/>
        <v>385.84703301843456</v>
      </c>
      <c r="AD58" s="46">
        <f t="shared" si="64"/>
        <v>385.84703301843456</v>
      </c>
      <c r="AE58" s="46">
        <f t="shared" si="65"/>
        <v>0</v>
      </c>
    </row>
    <row r="59" spans="1:31" x14ac:dyDescent="0.3">
      <c r="B59" s="2">
        <f t="shared" si="55"/>
        <v>2029</v>
      </c>
      <c r="C59" s="3">
        <f t="shared" si="56"/>
        <v>434.40118949103453</v>
      </c>
      <c r="D59" s="3">
        <f t="shared" si="50"/>
        <v>434.40118949103453</v>
      </c>
      <c r="E59" s="3">
        <f t="shared" ref="E59:F59" si="71">+E58</f>
        <v>0.8642137074062155</v>
      </c>
      <c r="F59" s="3">
        <f t="shared" si="71"/>
        <v>800</v>
      </c>
      <c r="G59" s="3">
        <f>+'[9]Colector Krahmer II'!$AB$41</f>
        <v>393.48833605633911</v>
      </c>
      <c r="H59" s="3">
        <f t="shared" si="51"/>
        <v>40.912853434695421</v>
      </c>
      <c r="L59" s="9"/>
      <c r="T59" s="56">
        <f t="shared" si="58"/>
        <v>2029</v>
      </c>
      <c r="U59" s="9">
        <f>+'[9]Colector Krahmer II'!$V$41</f>
        <v>51690.386085884238</v>
      </c>
      <c r="V59" s="34">
        <f>+'[9]Colector Krahmer II'!$U$41</f>
        <v>95.372198766954398</v>
      </c>
      <c r="W59" s="44">
        <f t="shared" si="59"/>
        <v>2.2511614981766455</v>
      </c>
      <c r="X59" s="34">
        <f t="shared" si="60"/>
        <v>214.69822186061788</v>
      </c>
      <c r="Y59" s="34">
        <f t="shared" si="61"/>
        <v>19.07443975339088</v>
      </c>
      <c r="Z59" s="34">
        <f t="shared" si="62"/>
        <v>233.77266161400877</v>
      </c>
      <c r="AA59" s="34">
        <f>+'[9]Colector Krahmer II'!$AA$41</f>
        <v>159.71567444233034</v>
      </c>
      <c r="AB59" s="57">
        <f t="shared" si="63"/>
        <v>393.48833605633911</v>
      </c>
      <c r="AD59" s="46">
        <f t="shared" si="64"/>
        <v>393.48833605633911</v>
      </c>
      <c r="AE59" s="46">
        <f t="shared" si="65"/>
        <v>0</v>
      </c>
    </row>
    <row r="60" spans="1:31" x14ac:dyDescent="0.3">
      <c r="B60" s="2">
        <f t="shared" si="55"/>
        <v>2030</v>
      </c>
      <c r="C60" s="3">
        <f t="shared" si="56"/>
        <v>434.40118949103453</v>
      </c>
      <c r="D60" s="3">
        <f t="shared" si="50"/>
        <v>434.40118949103453</v>
      </c>
      <c r="E60" s="3">
        <f t="shared" ref="E60:F60" si="72">+E59</f>
        <v>0.8642137074062155</v>
      </c>
      <c r="F60" s="3">
        <f t="shared" si="72"/>
        <v>800</v>
      </c>
      <c r="G60" s="3">
        <f>+'[10]Colector Krahmer II'!$AB$41</f>
        <v>401.20473709794049</v>
      </c>
      <c r="H60" s="3">
        <f t="shared" si="51"/>
        <v>33.196452393094035</v>
      </c>
      <c r="L60" s="9"/>
      <c r="T60" s="56">
        <f t="shared" si="58"/>
        <v>2030</v>
      </c>
      <c r="U60" s="9">
        <f>+'[10]Colector Krahmer II'!$V$41</f>
        <v>52092.243875820568</v>
      </c>
      <c r="V60" s="34">
        <f>+'[10]Colector Krahmer II'!$U$41</f>
        <v>97.378103360479386</v>
      </c>
      <c r="W60" s="44">
        <f t="shared" si="59"/>
        <v>2.2480504027523489</v>
      </c>
      <c r="X60" s="34">
        <f t="shared" si="60"/>
        <v>218.91088447878553</v>
      </c>
      <c r="Y60" s="34">
        <f t="shared" si="61"/>
        <v>19.475620672095879</v>
      </c>
      <c r="Z60" s="34">
        <f t="shared" si="62"/>
        <v>238.38650515088142</v>
      </c>
      <c r="AA60" s="34">
        <f>+'[10]Colector Krahmer II'!$AA$41</f>
        <v>162.81823194705908</v>
      </c>
      <c r="AB60" s="57">
        <f t="shared" si="63"/>
        <v>401.20473709794049</v>
      </c>
      <c r="AD60" s="46">
        <f t="shared" si="64"/>
        <v>401.20473709794049</v>
      </c>
      <c r="AE60" s="46">
        <f t="shared" si="65"/>
        <v>0</v>
      </c>
    </row>
    <row r="61" spans="1:31" x14ac:dyDescent="0.3">
      <c r="B61" s="2">
        <f t="shared" si="55"/>
        <v>2031</v>
      </c>
      <c r="C61" s="3">
        <f t="shared" si="56"/>
        <v>434.40118949103453</v>
      </c>
      <c r="D61" s="3">
        <f t="shared" si="50"/>
        <v>434.40118949103453</v>
      </c>
      <c r="E61" s="3">
        <f t="shared" ref="E61:F61" si="73">+E60</f>
        <v>0.8642137074062155</v>
      </c>
      <c r="F61" s="3">
        <f t="shared" si="73"/>
        <v>800</v>
      </c>
      <c r="G61" s="3">
        <f>+'[11]Colector Krahmer II'!$AB$41</f>
        <v>409.00225127945549</v>
      </c>
      <c r="H61" s="3">
        <f t="shared" si="51"/>
        <v>25.398938211579036</v>
      </c>
      <c r="L61" s="9"/>
      <c r="T61" s="56">
        <f t="shared" si="58"/>
        <v>2031</v>
      </c>
      <c r="U61" s="9">
        <f>+'[11]Colector Krahmer II'!$V$41</f>
        <v>52496.244907303197</v>
      </c>
      <c r="V61" s="34">
        <f>+'[11]Colector Krahmer II'!$U$41</f>
        <v>99.402882671710927</v>
      </c>
      <c r="W61" s="44">
        <f t="shared" si="59"/>
        <v>2.2449502547360174</v>
      </c>
      <c r="X61" s="34">
        <f t="shared" si="60"/>
        <v>223.15452677535188</v>
      </c>
      <c r="Y61" s="34">
        <f t="shared" si="61"/>
        <v>19.880576534342186</v>
      </c>
      <c r="Z61" s="34">
        <f t="shared" si="62"/>
        <v>243.03510330969408</v>
      </c>
      <c r="AA61" s="34">
        <f>+'[11]Colector Krahmer II'!$AA$41</f>
        <v>165.96714796976141</v>
      </c>
      <c r="AB61" s="57">
        <f t="shared" si="63"/>
        <v>409.00225127945549</v>
      </c>
      <c r="AD61" s="46">
        <f t="shared" si="64"/>
        <v>409.00225127945549</v>
      </c>
      <c r="AE61" s="46">
        <f t="shared" si="65"/>
        <v>0</v>
      </c>
    </row>
    <row r="62" spans="1:31" x14ac:dyDescent="0.3">
      <c r="B62" s="2">
        <f t="shared" si="55"/>
        <v>2032</v>
      </c>
      <c r="C62" s="3">
        <f t="shared" si="56"/>
        <v>434.40118949103453</v>
      </c>
      <c r="D62" s="3">
        <f t="shared" si="50"/>
        <v>434.40118949103453</v>
      </c>
      <c r="E62" s="3">
        <f t="shared" ref="E62:F62" si="74">+E61</f>
        <v>0.8642137074062155</v>
      </c>
      <c r="F62" s="3">
        <f t="shared" si="74"/>
        <v>800</v>
      </c>
      <c r="G62" s="3">
        <f>+'[12]Colector Krahmer II'!$AB$41</f>
        <v>416.89113468656853</v>
      </c>
      <c r="H62" s="3">
        <f t="shared" si="51"/>
        <v>17.510054804465994</v>
      </c>
      <c r="L62" s="9"/>
      <c r="T62" s="56">
        <f t="shared" si="58"/>
        <v>2032</v>
      </c>
      <c r="U62" s="9">
        <f>+'[12]Colector Krahmer II'!$V$41</f>
        <v>52902.389180332175</v>
      </c>
      <c r="V62" s="34">
        <f>+'[12]Colector Krahmer II'!$U$41</f>
        <v>101.45411002596367</v>
      </c>
      <c r="W62" s="44">
        <f t="shared" si="59"/>
        <v>2.241861057610909</v>
      </c>
      <c r="X62" s="34">
        <f t="shared" si="60"/>
        <v>227.44601840178044</v>
      </c>
      <c r="Y62" s="34">
        <f t="shared" si="61"/>
        <v>20.290822005192737</v>
      </c>
      <c r="Z62" s="34">
        <f t="shared" si="62"/>
        <v>247.73684040697316</v>
      </c>
      <c r="AA62" s="34">
        <f>+'[12]Colector Krahmer II'!$AA$41</f>
        <v>169.1542942795954</v>
      </c>
      <c r="AB62" s="57">
        <f t="shared" si="63"/>
        <v>416.89113468656853</v>
      </c>
      <c r="AD62" s="46">
        <f t="shared" si="64"/>
        <v>416.89113468656853</v>
      </c>
      <c r="AE62" s="46">
        <f t="shared" si="65"/>
        <v>0</v>
      </c>
    </row>
    <row r="63" spans="1:31" x14ac:dyDescent="0.3">
      <c r="B63" s="2">
        <f t="shared" si="55"/>
        <v>2033</v>
      </c>
      <c r="C63" s="3">
        <f t="shared" si="56"/>
        <v>434.40118949103453</v>
      </c>
      <c r="D63" s="3">
        <f t="shared" si="50"/>
        <v>434.40118949103453</v>
      </c>
      <c r="E63" s="3">
        <f t="shared" ref="E63:F63" si="75">+E62</f>
        <v>0.8642137074062155</v>
      </c>
      <c r="F63" s="3">
        <f t="shared" si="75"/>
        <v>800</v>
      </c>
      <c r="G63" s="3">
        <f>+'[13]Colector Krahmer II'!$AB$41</f>
        <v>424.79201879010492</v>
      </c>
      <c r="H63" s="3">
        <f t="shared" si="51"/>
        <v>9.6091707009296101</v>
      </c>
      <c r="L63" s="9"/>
      <c r="T63" s="56">
        <f t="shared" si="58"/>
        <v>2033</v>
      </c>
      <c r="U63" s="9">
        <f>+'[13]Colector Krahmer II'!$V$41</f>
        <v>53311.033901831848</v>
      </c>
      <c r="V63" s="34">
        <f>+'[13]Colector Krahmer II'!$U$41</f>
        <v>103.51272794854543</v>
      </c>
      <c r="W63" s="44">
        <f t="shared" si="59"/>
        <v>2.2387801320824217</v>
      </c>
      <c r="X63" s="34">
        <f t="shared" si="60"/>
        <v>231.74223874885632</v>
      </c>
      <c r="Y63" s="34">
        <f t="shared" si="61"/>
        <v>20.702545589709089</v>
      </c>
      <c r="Z63" s="34">
        <f t="shared" si="62"/>
        <v>252.4447843385654</v>
      </c>
      <c r="AA63" s="34">
        <f>+'[13]Colector Krahmer II'!$AA$41</f>
        <v>172.34723445153952</v>
      </c>
      <c r="AB63" s="57">
        <f t="shared" si="63"/>
        <v>424.79201879010492</v>
      </c>
      <c r="AD63" s="46">
        <f t="shared" si="64"/>
        <v>424.79201879010492</v>
      </c>
      <c r="AE63" s="46">
        <f t="shared" si="65"/>
        <v>0</v>
      </c>
    </row>
    <row r="64" spans="1:31" x14ac:dyDescent="0.3">
      <c r="B64" s="2">
        <f t="shared" si="55"/>
        <v>2034</v>
      </c>
      <c r="C64" s="3">
        <f t="shared" si="56"/>
        <v>434.40118949103453</v>
      </c>
      <c r="D64" s="3">
        <f t="shared" si="50"/>
        <v>434.40118949103453</v>
      </c>
      <c r="E64" s="3">
        <f t="shared" ref="E64:F64" si="76">+E63</f>
        <v>0.8642137074062155</v>
      </c>
      <c r="F64" s="3">
        <f t="shared" si="76"/>
        <v>800</v>
      </c>
      <c r="G64" s="3">
        <f>+'[14]Colector Krahmer II'!$AB$41</f>
        <v>432.76887484000997</v>
      </c>
      <c r="H64" s="3">
        <f t="shared" si="51"/>
        <v>1.6323146510245579</v>
      </c>
      <c r="L64" s="9"/>
      <c r="T64" s="56">
        <f t="shared" si="58"/>
        <v>2034</v>
      </c>
      <c r="U64" s="9">
        <f>+'[14]Colector Krahmer II'!$V$41</f>
        <v>53721.107451029085</v>
      </c>
      <c r="V64" s="34">
        <f>+'[14]Colector Krahmer II'!$U$41</f>
        <v>105.59415726867422</v>
      </c>
      <c r="W64" s="44">
        <f t="shared" si="59"/>
        <v>2.2357155225589809</v>
      </c>
      <c r="X64" s="34">
        <f t="shared" si="60"/>
        <v>236.0784964971092</v>
      </c>
      <c r="Y64" s="34">
        <f t="shared" si="61"/>
        <v>21.118831453734845</v>
      </c>
      <c r="Z64" s="34">
        <f t="shared" si="62"/>
        <v>257.19732795084406</v>
      </c>
      <c r="AA64" s="34">
        <f>+'[14]Colector Krahmer II'!$AA$41</f>
        <v>175.57154688916589</v>
      </c>
      <c r="AB64" s="57">
        <f t="shared" si="63"/>
        <v>432.76887484000997</v>
      </c>
      <c r="AD64" s="46">
        <f t="shared" si="64"/>
        <v>432.76887484000997</v>
      </c>
      <c r="AE64" s="46">
        <f t="shared" si="65"/>
        <v>0</v>
      </c>
    </row>
    <row r="65" spans="2:31" x14ac:dyDescent="0.3">
      <c r="B65" s="2">
        <f t="shared" si="55"/>
        <v>2035</v>
      </c>
      <c r="C65" s="3">
        <f t="shared" si="56"/>
        <v>434.40118949103453</v>
      </c>
      <c r="D65" s="3">
        <f t="shared" si="50"/>
        <v>434.40118949103453</v>
      </c>
      <c r="E65" s="3">
        <f t="shared" ref="E65:F65" si="77">+E64</f>
        <v>0.8642137074062155</v>
      </c>
      <c r="F65" s="3">
        <f t="shared" si="77"/>
        <v>800</v>
      </c>
      <c r="G65" s="3">
        <f>+'[15]Colector Krahmer II'!$AB$41</f>
        <v>440.80376948343928</v>
      </c>
      <c r="H65" s="3">
        <f t="shared" si="51"/>
        <v>-6.4025799924047533</v>
      </c>
      <c r="L65" s="9"/>
      <c r="T65" s="56">
        <f t="shared" si="58"/>
        <v>2035</v>
      </c>
      <c r="U65" s="9">
        <f>+'[15]Colector Krahmer II'!$V$41</f>
        <v>54134.038655621436</v>
      </c>
      <c r="V65" s="34">
        <f>+'[15]Colector Krahmer II'!$U$41</f>
        <v>107.69446130650957</v>
      </c>
      <c r="W65" s="44">
        <f t="shared" si="59"/>
        <v>2.2326565497301316</v>
      </c>
      <c r="X65" s="34">
        <f t="shared" si="60"/>
        <v>240.44474440563681</v>
      </c>
      <c r="Y65" s="34">
        <f t="shared" si="61"/>
        <v>21.538892261301914</v>
      </c>
      <c r="Z65" s="34">
        <f t="shared" si="62"/>
        <v>261.98363666693871</v>
      </c>
      <c r="AA65" s="34">
        <f>+'[15]Colector Krahmer II'!$AA$41</f>
        <v>178.8201328165006</v>
      </c>
      <c r="AB65" s="57">
        <f t="shared" si="63"/>
        <v>440.80376948343928</v>
      </c>
      <c r="AD65" s="46">
        <f t="shared" si="64"/>
        <v>440.80376948343928</v>
      </c>
      <c r="AE65" s="46">
        <f t="shared" si="65"/>
        <v>0</v>
      </c>
    </row>
    <row r="66" spans="2:31" x14ac:dyDescent="0.3">
      <c r="B66" s="2">
        <f t="shared" si="55"/>
        <v>2036</v>
      </c>
      <c r="C66" s="3">
        <f t="shared" si="56"/>
        <v>434.40118949103453</v>
      </c>
      <c r="D66" s="3">
        <f t="shared" si="50"/>
        <v>434.40118949103453</v>
      </c>
      <c r="E66" s="3">
        <f t="shared" ref="E66:F66" si="78">+E65</f>
        <v>0.8642137074062155</v>
      </c>
      <c r="F66" s="3">
        <f t="shared" si="78"/>
        <v>800</v>
      </c>
      <c r="G66" s="3">
        <f>+'[16]Colector Krahmer II'!$AB$41</f>
        <v>448.92991805509837</v>
      </c>
      <c r="H66" s="3">
        <f t="shared" si="51"/>
        <v>-14.52872856406384</v>
      </c>
      <c r="L66" s="9"/>
      <c r="T66" s="56">
        <f t="shared" si="58"/>
        <v>2036</v>
      </c>
      <c r="U66" s="9">
        <f>+'[16]Colector Krahmer II'!$V$41</f>
        <v>54548.755894835704</v>
      </c>
      <c r="V66" s="34">
        <f>+'[16]Colector Krahmer II'!$U$41</f>
        <v>109.82155016887552</v>
      </c>
      <c r="W66" s="44">
        <f t="shared" si="59"/>
        <v>2.2296111848159619</v>
      </c>
      <c r="X66" s="34">
        <f t="shared" si="60"/>
        <v>244.85935659035215</v>
      </c>
      <c r="Y66" s="34">
        <f t="shared" si="61"/>
        <v>21.964310033775106</v>
      </c>
      <c r="Z66" s="34">
        <f t="shared" si="62"/>
        <v>266.82366662412727</v>
      </c>
      <c r="AA66" s="34">
        <f>+'[16]Colector Krahmer II'!$AA$41</f>
        <v>182.1062514309711</v>
      </c>
      <c r="AB66" s="57">
        <f t="shared" si="63"/>
        <v>448.92991805509837</v>
      </c>
      <c r="AD66" s="46">
        <f t="shared" si="64"/>
        <v>448.92991805509837</v>
      </c>
      <c r="AE66" s="46">
        <f t="shared" si="65"/>
        <v>0</v>
      </c>
    </row>
    <row r="67" spans="2:31" ht="13.8" thickBot="1" x14ac:dyDescent="0.35">
      <c r="B67" s="2">
        <f t="shared" si="55"/>
        <v>2037</v>
      </c>
      <c r="C67" s="3">
        <f t="shared" si="56"/>
        <v>434.40118949103453</v>
      </c>
      <c r="D67" s="3">
        <f t="shared" si="50"/>
        <v>434.40118949103453</v>
      </c>
      <c r="E67" s="3">
        <f t="shared" ref="E67:F67" si="79">+E66</f>
        <v>0.8642137074062155</v>
      </c>
      <c r="F67" s="3">
        <f t="shared" si="79"/>
        <v>800</v>
      </c>
      <c r="G67" s="3">
        <f>+'[17]Colector Krahmer II'!$AB$41</f>
        <v>457.06525261228069</v>
      </c>
      <c r="H67" s="3">
        <f t="shared" si="51"/>
        <v>-22.664063121246159</v>
      </c>
      <c r="I67" s="13">
        <f>+G67/G52-1</f>
        <v>0.3502255335453901</v>
      </c>
      <c r="L67" s="9"/>
      <c r="M67" s="8"/>
      <c r="T67" s="58">
        <f t="shared" si="58"/>
        <v>2037</v>
      </c>
      <c r="U67" s="59">
        <f>+'[17]Colector Krahmer II'!$V$41</f>
        <v>54965.973582520703</v>
      </c>
      <c r="V67" s="60">
        <f>+'[17]Colector Krahmer II'!$U$41</f>
        <v>111.95545945966248</v>
      </c>
      <c r="W67" s="61">
        <f t="shared" si="59"/>
        <v>2.226574177617719</v>
      </c>
      <c r="X67" s="60">
        <f t="shared" si="60"/>
        <v>249.27713507621186</v>
      </c>
      <c r="Y67" s="60">
        <f t="shared" si="61"/>
        <v>22.391091891932497</v>
      </c>
      <c r="Z67" s="60">
        <f t="shared" si="62"/>
        <v>271.66822696814438</v>
      </c>
      <c r="AA67" s="60">
        <f>+'[17]Colector Krahmer II'!$AA$41</f>
        <v>185.39702564413628</v>
      </c>
      <c r="AB67" s="62">
        <f t="shared" si="63"/>
        <v>457.06525261228069</v>
      </c>
      <c r="AD67" s="46">
        <f t="shared" si="64"/>
        <v>457.06525261228069</v>
      </c>
      <c r="AE67" s="46">
        <f t="shared" si="65"/>
        <v>0</v>
      </c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0:B51"/>
    <mergeCell ref="C50:C51"/>
    <mergeCell ref="D50:F50"/>
    <mergeCell ref="G50:G51"/>
    <mergeCell ref="H50:H51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0:D44 D53:D67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58</v>
      </c>
      <c r="E2" s="6" t="s">
        <v>7</v>
      </c>
      <c r="F2" s="7">
        <f>+'[17]Colector Gral Lagos I-V'!$N$18</f>
        <v>101.11000000000001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203</v>
      </c>
      <c r="O3" s="12" t="s">
        <v>204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/>
      <c r="V5" s="45"/>
    </row>
    <row r="6" spans="1:22" x14ac:dyDescent="0.3">
      <c r="A6" s="12" t="s">
        <v>6</v>
      </c>
      <c r="B6" s="2">
        <f>+'Colec Janequeo IV'!B6</f>
        <v>2022</v>
      </c>
      <c r="C6" s="3">
        <f>+SUMPRODUCT('[17]Colector Gral Lagos I-V'!$AL$17:$AL$18,'[17]Colector Gral Lagos I-V'!$M$17:$M$18)/F2</f>
        <v>682.65270473363933</v>
      </c>
      <c r="D6" s="3">
        <f t="shared" ref="D6:D21" si="0">+C6</f>
        <v>682.65270473363933</v>
      </c>
      <c r="E6" s="3">
        <f>+SUMPRODUCT('[17]Colector Gral Lagos I-V'!$AO$17:$AO$18,'[17]Colector Gral Lagos I-V'!$M$17:$M$18)/F2</f>
        <v>2.5331051843273662</v>
      </c>
      <c r="F6" s="3">
        <f>+SUMPRODUCT('[17]Colector Gral Lagos I-V'!$F$17:$F$18,'[17]Colector Gral Lagos I-V'!$M$17:$M$18)/F2</f>
        <v>499.99999999999994</v>
      </c>
      <c r="G6" s="3">
        <f>+'[2]Colector Gral Lagos I-V'!$AB$18</f>
        <v>58.202913688849357</v>
      </c>
      <c r="H6" s="3">
        <f t="shared" ref="H6:H21" si="1">+D6-G6</f>
        <v>624.44979104479</v>
      </c>
      <c r="K6" s="56">
        <f>+B6</f>
        <v>2022</v>
      </c>
      <c r="L6" s="35"/>
      <c r="N6" s="44"/>
      <c r="O6" s="34"/>
      <c r="P6" s="34"/>
      <c r="Q6" s="34"/>
      <c r="S6" s="57"/>
      <c r="U6" s="46"/>
      <c r="V6" s="34"/>
    </row>
    <row r="7" spans="1:22" x14ac:dyDescent="0.3">
      <c r="B7" s="2">
        <f t="shared" ref="B7:B21" si="2">+B6+1</f>
        <v>2023</v>
      </c>
      <c r="C7" s="3">
        <f t="shared" ref="C7:C21" si="3">+C6</f>
        <v>682.65270473363933</v>
      </c>
      <c r="D7" s="3">
        <f t="shared" si="0"/>
        <v>682.65270473363933</v>
      </c>
      <c r="E7" s="3">
        <f t="shared" ref="E7:F21" si="4">+E6</f>
        <v>2.5331051843273662</v>
      </c>
      <c r="F7" s="3">
        <f t="shared" si="4"/>
        <v>499.99999999999994</v>
      </c>
      <c r="G7" s="3">
        <f>+'[3]Colector Gral Lagos I-V'!$AB$18</f>
        <v>59.980201897353581</v>
      </c>
      <c r="H7" s="3">
        <f t="shared" si="1"/>
        <v>622.67250283628573</v>
      </c>
      <c r="K7" s="56">
        <f t="shared" ref="K7:K21" si="5">+B7</f>
        <v>2023</v>
      </c>
      <c r="L7" s="9"/>
      <c r="N7" s="44"/>
      <c r="O7" s="34"/>
      <c r="P7" s="34"/>
      <c r="Q7" s="34"/>
      <c r="S7" s="57"/>
      <c r="U7" s="46"/>
      <c r="V7" s="34"/>
    </row>
    <row r="8" spans="1:22" x14ac:dyDescent="0.3">
      <c r="B8" s="2">
        <f t="shared" si="2"/>
        <v>2024</v>
      </c>
      <c r="C8" s="3">
        <f t="shared" si="3"/>
        <v>682.65270473363933</v>
      </c>
      <c r="D8" s="3">
        <f t="shared" si="0"/>
        <v>682.65270473363933</v>
      </c>
      <c r="E8" s="3">
        <f t="shared" si="4"/>
        <v>2.5331051843273662</v>
      </c>
      <c r="F8" s="3">
        <f t="shared" si="4"/>
        <v>499.99999999999994</v>
      </c>
      <c r="G8" s="3">
        <f>+'[4]Colector Gral Lagos I-V'!$AB$18</f>
        <v>61.306980222701867</v>
      </c>
      <c r="H8" s="3">
        <f t="shared" si="1"/>
        <v>621.34572451093743</v>
      </c>
      <c r="K8" s="56">
        <f t="shared" si="5"/>
        <v>2024</v>
      </c>
      <c r="L8" s="9"/>
      <c r="N8" s="44"/>
      <c r="O8" s="34"/>
      <c r="P8" s="34"/>
      <c r="Q8" s="34"/>
      <c r="S8" s="57"/>
      <c r="U8" s="46"/>
      <c r="V8" s="34"/>
    </row>
    <row r="9" spans="1:22" x14ac:dyDescent="0.3">
      <c r="B9" s="2">
        <f t="shared" si="2"/>
        <v>2025</v>
      </c>
      <c r="C9" s="3">
        <f t="shared" si="3"/>
        <v>682.65270473363933</v>
      </c>
      <c r="D9" s="3">
        <f t="shared" si="0"/>
        <v>682.65270473363933</v>
      </c>
      <c r="E9" s="3">
        <f t="shared" si="4"/>
        <v>2.5331051843273662</v>
      </c>
      <c r="F9" s="3">
        <f t="shared" si="4"/>
        <v>499.99999999999994</v>
      </c>
      <c r="G9" s="3">
        <f>+'[5]Colector Gral Lagos I-V'!$AB$18</f>
        <v>62.637456378094335</v>
      </c>
      <c r="H9" s="3">
        <f t="shared" si="1"/>
        <v>620.01524835554494</v>
      </c>
      <c r="K9" s="56">
        <f t="shared" si="5"/>
        <v>2025</v>
      </c>
      <c r="L9" s="9"/>
      <c r="N9" s="44"/>
      <c r="O9" s="34"/>
      <c r="P9" s="34"/>
      <c r="Q9" s="34"/>
      <c r="S9" s="57"/>
      <c r="U9" s="46"/>
      <c r="V9" s="34"/>
    </row>
    <row r="10" spans="1:22" x14ac:dyDescent="0.3">
      <c r="B10" s="2">
        <f t="shared" si="2"/>
        <v>2026</v>
      </c>
      <c r="C10" s="3">
        <f t="shared" si="3"/>
        <v>682.65270473363933</v>
      </c>
      <c r="D10" s="3">
        <f t="shared" si="0"/>
        <v>682.65270473363933</v>
      </c>
      <c r="E10" s="3">
        <f t="shared" si="4"/>
        <v>2.5331051843273662</v>
      </c>
      <c r="F10" s="3">
        <f t="shared" si="4"/>
        <v>499.99999999999994</v>
      </c>
      <c r="G10" s="3">
        <f>+'[6]Colector Gral Lagos I-V'!$AB$18</f>
        <v>63.981569593030429</v>
      </c>
      <c r="H10" s="3">
        <f t="shared" si="1"/>
        <v>618.67113514060884</v>
      </c>
      <c r="K10" s="56">
        <f t="shared" si="5"/>
        <v>2026</v>
      </c>
      <c r="L10" s="9"/>
      <c r="N10" s="44"/>
      <c r="O10" s="34"/>
      <c r="P10" s="34"/>
      <c r="Q10" s="34"/>
      <c r="S10" s="57"/>
      <c r="U10" s="46"/>
      <c r="V10" s="34"/>
    </row>
    <row r="11" spans="1:22" x14ac:dyDescent="0.3">
      <c r="B11" s="2">
        <f t="shared" si="2"/>
        <v>2027</v>
      </c>
      <c r="C11" s="3">
        <f t="shared" si="3"/>
        <v>682.65270473363933</v>
      </c>
      <c r="D11" s="3">
        <f t="shared" si="0"/>
        <v>682.65270473363933</v>
      </c>
      <c r="E11" s="3">
        <f t="shared" si="4"/>
        <v>2.5331051843273662</v>
      </c>
      <c r="F11" s="3">
        <f t="shared" si="4"/>
        <v>499.99999999999994</v>
      </c>
      <c r="G11" s="3">
        <f>+'[7]Colector Gral Lagos I-V'!$AB$18</f>
        <v>65.336813077003583</v>
      </c>
      <c r="H11" s="3">
        <f t="shared" si="1"/>
        <v>617.3158916566357</v>
      </c>
      <c r="K11" s="56">
        <f t="shared" si="5"/>
        <v>2027</v>
      </c>
      <c r="L11" s="9"/>
      <c r="N11" s="44"/>
      <c r="O11" s="34"/>
      <c r="P11" s="34"/>
      <c r="Q11" s="34"/>
      <c r="S11" s="57"/>
      <c r="U11" s="46"/>
      <c r="V11" s="34"/>
    </row>
    <row r="12" spans="1:22" x14ac:dyDescent="0.3">
      <c r="B12" s="2">
        <f t="shared" si="2"/>
        <v>2028</v>
      </c>
      <c r="C12" s="3">
        <f t="shared" si="3"/>
        <v>682.65270473363933</v>
      </c>
      <c r="D12" s="3">
        <f t="shared" si="0"/>
        <v>682.65270473363933</v>
      </c>
      <c r="E12" s="3">
        <f t="shared" si="4"/>
        <v>2.5331051843273662</v>
      </c>
      <c r="F12" s="3">
        <f t="shared" si="4"/>
        <v>499.99999999999994</v>
      </c>
      <c r="G12" s="3">
        <f>+'[8]Colector Gral Lagos I-V'!$AB$18</f>
        <v>66.708357198888578</v>
      </c>
      <c r="H12" s="3">
        <f t="shared" si="1"/>
        <v>615.9443475347507</v>
      </c>
      <c r="K12" s="56">
        <f t="shared" si="5"/>
        <v>2028</v>
      </c>
      <c r="L12" s="9"/>
      <c r="N12" s="44"/>
      <c r="O12" s="34"/>
      <c r="P12" s="34"/>
      <c r="Q12" s="34"/>
      <c r="S12" s="57"/>
      <c r="U12" s="46"/>
      <c r="V12" s="34"/>
    </row>
    <row r="13" spans="1:22" x14ac:dyDescent="0.3">
      <c r="B13" s="2">
        <f t="shared" si="2"/>
        <v>2029</v>
      </c>
      <c r="C13" s="3">
        <f t="shared" si="3"/>
        <v>682.65270473363933</v>
      </c>
      <c r="D13" s="3">
        <f t="shared" si="0"/>
        <v>682.65270473363933</v>
      </c>
      <c r="E13" s="3">
        <f t="shared" si="4"/>
        <v>2.5331051843273662</v>
      </c>
      <c r="F13" s="3">
        <f t="shared" si="4"/>
        <v>499.99999999999994</v>
      </c>
      <c r="G13" s="3">
        <f>+'[9]Colector Gral Lagos I-V'!$AB$18</f>
        <v>68.083095405182206</v>
      </c>
      <c r="H13" s="3">
        <f t="shared" si="1"/>
        <v>614.56960932845709</v>
      </c>
      <c r="K13" s="56">
        <f t="shared" si="5"/>
        <v>2029</v>
      </c>
      <c r="L13" s="9"/>
      <c r="N13" s="44"/>
      <c r="O13" s="34"/>
      <c r="P13" s="34"/>
      <c r="Q13" s="34"/>
      <c r="S13" s="57"/>
      <c r="U13" s="46"/>
      <c r="V13" s="34"/>
    </row>
    <row r="14" spans="1:22" x14ac:dyDescent="0.3">
      <c r="B14" s="2">
        <f t="shared" si="2"/>
        <v>2030</v>
      </c>
      <c r="C14" s="3">
        <f t="shared" si="3"/>
        <v>682.65270473363933</v>
      </c>
      <c r="D14" s="3">
        <f t="shared" si="0"/>
        <v>682.65270473363933</v>
      </c>
      <c r="E14" s="3">
        <f t="shared" si="4"/>
        <v>2.5331051843273662</v>
      </c>
      <c r="F14" s="3">
        <f t="shared" si="4"/>
        <v>499.99999999999994</v>
      </c>
      <c r="G14" s="3">
        <f>+'[10]Colector Gral Lagos I-V'!$AB$18</f>
        <v>69.471505322091772</v>
      </c>
      <c r="H14" s="3">
        <f t="shared" si="1"/>
        <v>613.1811994115476</v>
      </c>
      <c r="K14" s="56">
        <f t="shared" si="5"/>
        <v>2030</v>
      </c>
      <c r="L14" s="9"/>
      <c r="N14" s="44"/>
      <c r="O14" s="34"/>
      <c r="P14" s="34"/>
      <c r="Q14" s="34"/>
      <c r="S14" s="57"/>
      <c r="U14" s="46"/>
      <c r="V14" s="34"/>
    </row>
    <row r="15" spans="1:22" x14ac:dyDescent="0.3">
      <c r="B15" s="2">
        <f t="shared" si="2"/>
        <v>2031</v>
      </c>
      <c r="C15" s="3">
        <f t="shared" si="3"/>
        <v>682.65270473363933</v>
      </c>
      <c r="D15" s="3">
        <f t="shared" si="0"/>
        <v>682.65270473363933</v>
      </c>
      <c r="E15" s="3">
        <f t="shared" si="4"/>
        <v>2.5331051843273662</v>
      </c>
      <c r="F15" s="3">
        <f t="shared" si="4"/>
        <v>499.99999999999994</v>
      </c>
      <c r="G15" s="3">
        <f>+'[11]Colector Gral Lagos I-V'!$AB$18</f>
        <v>70.870863659376113</v>
      </c>
      <c r="H15" s="3">
        <f t="shared" si="1"/>
        <v>611.78184107426318</v>
      </c>
      <c r="K15" s="56">
        <f t="shared" si="5"/>
        <v>2031</v>
      </c>
      <c r="L15" s="9"/>
      <c r="N15" s="44"/>
      <c r="O15" s="34"/>
      <c r="P15" s="34"/>
      <c r="Q15" s="34"/>
      <c r="S15" s="57"/>
      <c r="U15" s="46"/>
      <c r="V15" s="34"/>
    </row>
    <row r="16" spans="1:22" x14ac:dyDescent="0.3">
      <c r="B16" s="2">
        <f t="shared" si="2"/>
        <v>2032</v>
      </c>
      <c r="C16" s="3">
        <f t="shared" si="3"/>
        <v>682.65270473363933</v>
      </c>
      <c r="D16" s="3">
        <f t="shared" si="0"/>
        <v>682.65270473363933</v>
      </c>
      <c r="E16" s="3">
        <f t="shared" si="4"/>
        <v>2.5331051843273662</v>
      </c>
      <c r="F16" s="3">
        <f t="shared" si="4"/>
        <v>499.99999999999994</v>
      </c>
      <c r="G16" s="3">
        <f>+'[12]Colector Gral Lagos I-V'!$AB$18</f>
        <v>72.286620693514138</v>
      </c>
      <c r="H16" s="3">
        <f t="shared" si="1"/>
        <v>610.3660840401252</v>
      </c>
      <c r="K16" s="56">
        <f t="shared" si="5"/>
        <v>2032</v>
      </c>
      <c r="L16" s="9"/>
      <c r="N16" s="44"/>
      <c r="O16" s="34"/>
      <c r="P16" s="34"/>
      <c r="Q16" s="34"/>
      <c r="S16" s="57"/>
      <c r="U16" s="46"/>
      <c r="V16" s="34"/>
    </row>
    <row r="17" spans="2:22" x14ac:dyDescent="0.3">
      <c r="B17" s="2">
        <f t="shared" si="2"/>
        <v>2033</v>
      </c>
      <c r="C17" s="3">
        <f t="shared" si="3"/>
        <v>682.65270473363933</v>
      </c>
      <c r="D17" s="3">
        <f t="shared" si="0"/>
        <v>682.65270473363933</v>
      </c>
      <c r="E17" s="3">
        <f t="shared" si="4"/>
        <v>2.5331051843273662</v>
      </c>
      <c r="F17" s="3">
        <f t="shared" si="4"/>
        <v>499.99999999999994</v>
      </c>
      <c r="G17" s="3">
        <f>+'[13]Colector Gral Lagos I-V'!$AB$18</f>
        <v>73.704884270471581</v>
      </c>
      <c r="H17" s="3">
        <f t="shared" si="1"/>
        <v>608.94782046316777</v>
      </c>
      <c r="K17" s="56">
        <f t="shared" si="5"/>
        <v>2033</v>
      </c>
      <c r="L17" s="9"/>
      <c r="N17" s="44"/>
      <c r="O17" s="34"/>
      <c r="P17" s="34"/>
      <c r="Q17" s="34"/>
      <c r="S17" s="57"/>
      <c r="U17" s="46"/>
      <c r="V17" s="34"/>
    </row>
    <row r="18" spans="2:22" x14ac:dyDescent="0.3">
      <c r="B18" s="2">
        <f t="shared" si="2"/>
        <v>2034</v>
      </c>
      <c r="C18" s="3">
        <f t="shared" si="3"/>
        <v>682.65270473363933</v>
      </c>
      <c r="D18" s="3">
        <f t="shared" si="0"/>
        <v>682.65270473363933</v>
      </c>
      <c r="E18" s="3">
        <f t="shared" si="4"/>
        <v>2.5331051843273662</v>
      </c>
      <c r="F18" s="3">
        <f t="shared" si="4"/>
        <v>499.99999999999994</v>
      </c>
      <c r="G18" s="3">
        <f>+'[14]Colector Gral Lagos I-V'!$AB$18</f>
        <v>75.136976156676667</v>
      </c>
      <c r="H18" s="3">
        <f t="shared" si="1"/>
        <v>607.5157285769626</v>
      </c>
      <c r="K18" s="56">
        <f t="shared" si="5"/>
        <v>2034</v>
      </c>
      <c r="L18" s="9"/>
      <c r="N18" s="44"/>
      <c r="O18" s="34"/>
      <c r="P18" s="34"/>
      <c r="Q18" s="34"/>
      <c r="S18" s="57"/>
      <c r="U18" s="46"/>
      <c r="V18" s="34"/>
    </row>
    <row r="19" spans="2:22" x14ac:dyDescent="0.3">
      <c r="B19" s="2">
        <f t="shared" si="2"/>
        <v>2035</v>
      </c>
      <c r="C19" s="3">
        <f t="shared" si="3"/>
        <v>682.65270473363933</v>
      </c>
      <c r="D19" s="3">
        <f t="shared" si="0"/>
        <v>682.65270473363933</v>
      </c>
      <c r="E19" s="3">
        <f t="shared" si="4"/>
        <v>2.5331051843273662</v>
      </c>
      <c r="F19" s="3">
        <f t="shared" si="4"/>
        <v>499.99999999999994</v>
      </c>
      <c r="G19" s="3">
        <f>+'[15]Colector Gral Lagos I-V'!$AB$18</f>
        <v>76.579763111653818</v>
      </c>
      <c r="H19" s="3">
        <f t="shared" si="1"/>
        <v>606.07294162198548</v>
      </c>
      <c r="K19" s="56">
        <f t="shared" si="5"/>
        <v>2035</v>
      </c>
      <c r="L19" s="9"/>
      <c r="N19" s="44"/>
      <c r="O19" s="34"/>
      <c r="P19" s="34"/>
      <c r="Q19" s="34"/>
      <c r="S19" s="57"/>
      <c r="U19" s="46"/>
      <c r="V19" s="34"/>
    </row>
    <row r="20" spans="2:22" x14ac:dyDescent="0.3">
      <c r="B20" s="2">
        <f t="shared" si="2"/>
        <v>2036</v>
      </c>
      <c r="C20" s="3">
        <f t="shared" si="3"/>
        <v>682.65270473363933</v>
      </c>
      <c r="D20" s="3">
        <f t="shared" si="0"/>
        <v>682.65270473363933</v>
      </c>
      <c r="E20" s="3">
        <f t="shared" si="4"/>
        <v>2.5331051843273662</v>
      </c>
      <c r="F20" s="3">
        <f t="shared" si="4"/>
        <v>499.99999999999994</v>
      </c>
      <c r="G20" s="3">
        <f>+'[16]Colector Gral Lagos I-V'!$AB$18</f>
        <v>78.03910815284334</v>
      </c>
      <c r="H20" s="3">
        <f t="shared" si="1"/>
        <v>604.61359658079596</v>
      </c>
      <c r="K20" s="56">
        <f t="shared" si="5"/>
        <v>2036</v>
      </c>
      <c r="L20" s="9"/>
      <c r="N20" s="44"/>
      <c r="O20" s="34"/>
      <c r="P20" s="34"/>
      <c r="Q20" s="34"/>
      <c r="S20" s="57"/>
      <c r="U20" s="46"/>
      <c r="V20" s="34"/>
    </row>
    <row r="21" spans="2:22" ht="13.8" thickBot="1" x14ac:dyDescent="0.35">
      <c r="B21" s="2">
        <f t="shared" si="2"/>
        <v>2037</v>
      </c>
      <c r="C21" s="3">
        <f t="shared" si="3"/>
        <v>682.65270473363933</v>
      </c>
      <c r="D21" s="3">
        <f t="shared" si="0"/>
        <v>682.65270473363933</v>
      </c>
      <c r="E21" s="3">
        <f t="shared" si="4"/>
        <v>2.5331051843273662</v>
      </c>
      <c r="F21" s="3">
        <f t="shared" si="4"/>
        <v>499.99999999999994</v>
      </c>
      <c r="G21" s="3">
        <f>+'[17]Colector Gral Lagos I-V'!$AB$18</f>
        <v>79.500452668277106</v>
      </c>
      <c r="H21" s="3">
        <f t="shared" si="1"/>
        <v>603.15225206536218</v>
      </c>
      <c r="I21" s="13">
        <f>+G21/G6-1</f>
        <v>0.36591877673484885</v>
      </c>
      <c r="K21" s="58">
        <f t="shared" si="5"/>
        <v>2037</v>
      </c>
      <c r="L21" s="59"/>
      <c r="M21" s="73"/>
      <c r="N21" s="61"/>
      <c r="O21" s="60"/>
      <c r="P21" s="60"/>
      <c r="Q21" s="60"/>
      <c r="R21" s="63"/>
      <c r="S21" s="62"/>
      <c r="U21" s="46"/>
      <c r="V21" s="34"/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54</v>
      </c>
      <c r="E2" s="6" t="s">
        <v>7</v>
      </c>
      <c r="F2" s="7">
        <f>+'[17]Colector Janequeo I-IV'!$N$57</f>
        <v>345.45999999999992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202</v>
      </c>
      <c r="O3" s="12" t="s">
        <v>201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Janequeo III'!B6</f>
        <v>2022</v>
      </c>
      <c r="C6" s="3">
        <f>+SUMPRODUCT('[17]Colector Janequeo I-IV'!$AL$51:$AL$57,'[17]Colector Janequeo I-IV'!$M$51:$M$57)/F2</f>
        <v>199.4375344397094</v>
      </c>
      <c r="D6" s="3">
        <f t="shared" ref="D6:D21" si="0">+C6</f>
        <v>199.4375344397094</v>
      </c>
      <c r="E6" s="3">
        <f>D6/(0.25*PI()*(F6/1000)^2)/1000</f>
        <v>1.0157270222124752</v>
      </c>
      <c r="F6" s="3">
        <f>+SUMPRODUCT('[17]Colector Janequeo I-IV'!$F$51:$F$57,'[17]Colector Janequeo I-IV'!$M$51:$M$57)/F2</f>
        <v>500.00000000000011</v>
      </c>
      <c r="G6" s="3">
        <f>+'[2]Colector Janequeo I-IV'!$AB$57</f>
        <v>61.544607148847163</v>
      </c>
      <c r="H6" s="3">
        <f t="shared" ref="H6:H21" si="1">+D6-G6</f>
        <v>137.89292729086225</v>
      </c>
      <c r="K6" s="56">
        <f>+B6</f>
        <v>2022</v>
      </c>
      <c r="L6" s="9">
        <f>+'[2]Colector Janequeo I-IV'!$V$57</f>
        <v>1046.4512892482351</v>
      </c>
      <c r="M6" s="35">
        <f>+'[2]Colector Janequeo I-IV'!$U$57</f>
        <v>3.7088922790828276</v>
      </c>
      <c r="N6" s="44">
        <f t="shared" ref="N6:N21" si="2">1+(14/(4+(SQRT(L6/1000))))</f>
        <v>3.7872000527225227</v>
      </c>
      <c r="O6" s="34">
        <f t="shared" ref="O6:O21" si="3">+N6*M6</f>
        <v>14.046317034884641</v>
      </c>
      <c r="P6" s="34">
        <f>+M6*$P$4</f>
        <v>0.74177845581656554</v>
      </c>
      <c r="Q6" s="34">
        <f>+P6+O6</f>
        <v>14.788095490701206</v>
      </c>
      <c r="R6" s="35">
        <f>+'[2]Colector Janequeo I-IV'!$AA$57</f>
        <v>46.756511658145953</v>
      </c>
      <c r="S6" s="57">
        <f>+R6+Q6</f>
        <v>61.544607148847163</v>
      </c>
      <c r="U6" s="46">
        <f>+G6</f>
        <v>61.544607148847163</v>
      </c>
      <c r="V6" s="34">
        <f>+U6-S6</f>
        <v>0</v>
      </c>
    </row>
    <row r="7" spans="1:22" x14ac:dyDescent="0.3">
      <c r="B7" s="2">
        <f t="shared" ref="B7:B21" si="4">+B6+1</f>
        <v>2023</v>
      </c>
      <c r="C7" s="3">
        <f t="shared" ref="C7:C21" si="5">+C6</f>
        <v>199.4375344397094</v>
      </c>
      <c r="D7" s="3">
        <f t="shared" si="0"/>
        <v>199.4375344397094</v>
      </c>
      <c r="E7" s="3">
        <f t="shared" ref="E7:F21" si="6">+E6</f>
        <v>1.0157270222124752</v>
      </c>
      <c r="F7" s="3">
        <f t="shared" si="6"/>
        <v>500.00000000000011</v>
      </c>
      <c r="G7" s="3">
        <f>+'[3]Colector Janequeo I-IV'!$AB$57</f>
        <v>63.432447877412557</v>
      </c>
      <c r="H7" s="3">
        <f t="shared" si="1"/>
        <v>136.00508656229684</v>
      </c>
      <c r="K7" s="56">
        <f t="shared" ref="K7:K21" si="7">+B7</f>
        <v>2023</v>
      </c>
      <c r="L7" s="9">
        <f>+'[3]Colector Janequeo I-IV'!$V$57</f>
        <v>1054.9247622054509</v>
      </c>
      <c r="M7" s="35">
        <f>+'[3]Colector Janequeo I-IV'!$U$57</f>
        <v>3.8259184921638281</v>
      </c>
      <c r="N7" s="44">
        <f t="shared" si="2"/>
        <v>3.7849084123417867</v>
      </c>
      <c r="O7" s="34">
        <f t="shared" si="3"/>
        <v>14.480751085924878</v>
      </c>
      <c r="P7" s="34">
        <f t="shared" ref="P7:P21" si="8">+M7*$P$4</f>
        <v>0.76518369843276568</v>
      </c>
      <c r="Q7" s="34">
        <f t="shared" ref="Q7:Q21" si="9">+P7+O7</f>
        <v>15.245934784357644</v>
      </c>
      <c r="R7" s="35">
        <f>+'[3]Colector Janequeo I-IV'!$AA$57</f>
        <v>48.186513093054913</v>
      </c>
      <c r="S7" s="57">
        <f t="shared" ref="S7:S21" si="10">+R7+Q7</f>
        <v>63.432447877412557</v>
      </c>
      <c r="U7" s="46">
        <f t="shared" ref="U7:U21" si="11">+G7</f>
        <v>63.432447877412557</v>
      </c>
      <c r="V7" s="34">
        <f t="shared" ref="V7:V21" si="12">+U7-S7</f>
        <v>0</v>
      </c>
    </row>
    <row r="8" spans="1:22" x14ac:dyDescent="0.3">
      <c r="B8" s="2">
        <f t="shared" si="4"/>
        <v>2024</v>
      </c>
      <c r="C8" s="3">
        <f t="shared" si="5"/>
        <v>199.4375344397094</v>
      </c>
      <c r="D8" s="3">
        <f t="shared" si="0"/>
        <v>199.4375344397094</v>
      </c>
      <c r="E8" s="3">
        <f t="shared" si="6"/>
        <v>1.0157270222124752</v>
      </c>
      <c r="F8" s="3">
        <f t="shared" si="6"/>
        <v>500.00000000000011</v>
      </c>
      <c r="G8" s="3">
        <f>+'[4]Colector Janequeo I-IV'!$AB$57</f>
        <v>64.844263730819918</v>
      </c>
      <c r="H8" s="3">
        <f t="shared" si="1"/>
        <v>134.59327070888946</v>
      </c>
      <c r="K8" s="56">
        <f t="shared" si="7"/>
        <v>2024</v>
      </c>
      <c r="L8" s="9">
        <f>+'[4]Colector Janequeo I-IV'!$V$57</f>
        <v>1063.437139997181</v>
      </c>
      <c r="M8" s="35">
        <f>+'[4]Colector Janequeo I-IV'!$U$57</f>
        <v>3.9144014270659753</v>
      </c>
      <c r="N8" s="44">
        <f t="shared" si="2"/>
        <v>3.7826192670435264</v>
      </c>
      <c r="O8" s="34">
        <f t="shared" si="3"/>
        <v>14.806690256962433</v>
      </c>
      <c r="P8" s="34">
        <f t="shared" si="8"/>
        <v>0.7828802854131951</v>
      </c>
      <c r="Q8" s="34">
        <f t="shared" si="9"/>
        <v>15.589570542375629</v>
      </c>
      <c r="R8" s="35">
        <f>+'[4]Colector Janequeo I-IV'!$AA$57</f>
        <v>49.254693188444286</v>
      </c>
      <c r="S8" s="57">
        <f t="shared" si="10"/>
        <v>64.844263730819918</v>
      </c>
      <c r="U8" s="46">
        <f t="shared" si="11"/>
        <v>64.844263730819918</v>
      </c>
      <c r="V8" s="34">
        <f t="shared" si="12"/>
        <v>0</v>
      </c>
    </row>
    <row r="9" spans="1:22" x14ac:dyDescent="0.3">
      <c r="B9" s="2">
        <f t="shared" si="4"/>
        <v>2025</v>
      </c>
      <c r="C9" s="3">
        <f t="shared" si="5"/>
        <v>199.4375344397094</v>
      </c>
      <c r="D9" s="3">
        <f t="shared" si="0"/>
        <v>199.4375344397094</v>
      </c>
      <c r="E9" s="3">
        <f t="shared" si="6"/>
        <v>1.0157270222124752</v>
      </c>
      <c r="F9" s="3">
        <f t="shared" si="6"/>
        <v>500.00000000000011</v>
      </c>
      <c r="G9" s="3">
        <f>+'[5]Colector Janequeo I-IV'!$AB$57</f>
        <v>66.260332451239918</v>
      </c>
      <c r="H9" s="3">
        <f t="shared" si="1"/>
        <v>133.17720198846948</v>
      </c>
      <c r="K9" s="56">
        <f t="shared" si="7"/>
        <v>2025</v>
      </c>
      <c r="L9" s="9">
        <f>+'[5]Colector Janequeo I-IV'!$V$57</f>
        <v>1071.9806416565227</v>
      </c>
      <c r="M9" s="35">
        <f>+'[5]Colector Janequeo I-IV'!$U$57</f>
        <v>4.0032817469416466</v>
      </c>
      <c r="N9" s="44">
        <f t="shared" si="2"/>
        <v>3.780334703802664</v>
      </c>
      <c r="O9" s="34">
        <f t="shared" si="3"/>
        <v>15.133744917063261</v>
      </c>
      <c r="P9" s="34">
        <f t="shared" si="8"/>
        <v>0.80065634938832941</v>
      </c>
      <c r="Q9" s="34">
        <f t="shared" si="9"/>
        <v>15.934401266451591</v>
      </c>
      <c r="R9" s="35">
        <f>+'[5]Colector Janequeo I-IV'!$AA$57</f>
        <v>50.325931184788331</v>
      </c>
      <c r="S9" s="57">
        <f t="shared" si="10"/>
        <v>66.260332451239918</v>
      </c>
      <c r="U9" s="46">
        <f t="shared" si="11"/>
        <v>66.260332451239918</v>
      </c>
      <c r="V9" s="34">
        <f t="shared" si="12"/>
        <v>0</v>
      </c>
    </row>
    <row r="10" spans="1:22" x14ac:dyDescent="0.3">
      <c r="B10" s="2">
        <f t="shared" si="4"/>
        <v>2026</v>
      </c>
      <c r="C10" s="3">
        <f t="shared" si="5"/>
        <v>199.4375344397094</v>
      </c>
      <c r="D10" s="3">
        <f t="shared" si="0"/>
        <v>199.4375344397094</v>
      </c>
      <c r="E10" s="3">
        <f t="shared" si="6"/>
        <v>1.0157270222124752</v>
      </c>
      <c r="F10" s="3">
        <f t="shared" si="6"/>
        <v>500.00000000000011</v>
      </c>
      <c r="G10" s="3">
        <f>+'[6]Colector Janequeo I-IV'!$AB$57</f>
        <v>67.691185352004368</v>
      </c>
      <c r="H10" s="3">
        <f t="shared" si="1"/>
        <v>131.74634908770503</v>
      </c>
      <c r="K10" s="56">
        <f t="shared" si="7"/>
        <v>2026</v>
      </c>
      <c r="L10" s="9">
        <f>+'[6]Colector Janequeo I-IV'!$V$57</f>
        <v>1080.5708291172816</v>
      </c>
      <c r="M10" s="35">
        <f>+'[6]Colector Janequeo I-IV'!$U$57</f>
        <v>4.0932029293689878</v>
      </c>
      <c r="N10" s="44">
        <f t="shared" si="2"/>
        <v>3.7780505732227767</v>
      </c>
      <c r="O10" s="34">
        <f t="shared" si="3"/>
        <v>15.464327673619653</v>
      </c>
      <c r="P10" s="34">
        <f t="shared" si="8"/>
        <v>0.81864058587379762</v>
      </c>
      <c r="Q10" s="34">
        <f t="shared" si="9"/>
        <v>16.282968259493451</v>
      </c>
      <c r="R10" s="35">
        <f>+'[6]Colector Janequeo I-IV'!$AA$57</f>
        <v>51.408217092510917</v>
      </c>
      <c r="S10" s="57">
        <f t="shared" si="10"/>
        <v>67.691185352004368</v>
      </c>
      <c r="U10" s="46">
        <f t="shared" si="11"/>
        <v>67.691185352004368</v>
      </c>
      <c r="V10" s="34">
        <f t="shared" si="12"/>
        <v>0</v>
      </c>
    </row>
    <row r="11" spans="1:22" x14ac:dyDescent="0.3">
      <c r="B11" s="2">
        <f t="shared" si="4"/>
        <v>2027</v>
      </c>
      <c r="C11" s="3">
        <f t="shared" si="5"/>
        <v>199.4375344397094</v>
      </c>
      <c r="D11" s="3">
        <f t="shared" si="0"/>
        <v>199.4375344397094</v>
      </c>
      <c r="E11" s="3">
        <f t="shared" si="6"/>
        <v>1.0157270222124752</v>
      </c>
      <c r="F11" s="3">
        <f t="shared" si="6"/>
        <v>500.00000000000011</v>
      </c>
      <c r="G11" s="3">
        <f>+'[7]Colector Janequeo I-IV'!$AB$57</f>
        <v>69.134166129241592</v>
      </c>
      <c r="H11" s="3">
        <f t="shared" si="1"/>
        <v>130.30336831046782</v>
      </c>
      <c r="K11" s="56">
        <f t="shared" si="7"/>
        <v>2027</v>
      </c>
      <c r="L11" s="9">
        <f>+'[7]Colector Janequeo I-IV'!$V$57</f>
        <v>1089.1999214125547</v>
      </c>
      <c r="M11" s="35">
        <f>+'[7]Colector Janequeo I-IV'!$U$57</f>
        <v>4.1840033361206377</v>
      </c>
      <c r="N11" s="44">
        <f t="shared" si="2"/>
        <v>3.7757689733774855</v>
      </c>
      <c r="O11" s="34">
        <f t="shared" si="3"/>
        <v>15.797829981032194</v>
      </c>
      <c r="P11" s="34">
        <f t="shared" si="8"/>
        <v>0.8368006672241276</v>
      </c>
      <c r="Q11" s="34">
        <f t="shared" si="9"/>
        <v>16.634630648256323</v>
      </c>
      <c r="R11" s="35">
        <f>+'[7]Colector Janequeo I-IV'!$AA$57</f>
        <v>52.499535480985273</v>
      </c>
      <c r="S11" s="57">
        <f t="shared" si="10"/>
        <v>69.134166129241592</v>
      </c>
      <c r="U11" s="46">
        <f t="shared" si="11"/>
        <v>69.134166129241592</v>
      </c>
      <c r="V11" s="34">
        <f t="shared" si="12"/>
        <v>0</v>
      </c>
    </row>
    <row r="12" spans="1:22" x14ac:dyDescent="0.3">
      <c r="B12" s="2">
        <f t="shared" si="4"/>
        <v>2028</v>
      </c>
      <c r="C12" s="3">
        <f t="shared" si="5"/>
        <v>199.4375344397094</v>
      </c>
      <c r="D12" s="3">
        <f t="shared" si="0"/>
        <v>199.4375344397094</v>
      </c>
      <c r="E12" s="3">
        <f t="shared" si="6"/>
        <v>1.0157270222124752</v>
      </c>
      <c r="F12" s="3">
        <f t="shared" si="6"/>
        <v>500.00000000000011</v>
      </c>
      <c r="G12" s="3">
        <f>+'[8]Colector Janequeo I-IV'!$AB$57</f>
        <v>70.594757709981366</v>
      </c>
      <c r="H12" s="3">
        <f t="shared" si="1"/>
        <v>128.84277672972803</v>
      </c>
      <c r="K12" s="56">
        <f t="shared" si="7"/>
        <v>2028</v>
      </c>
      <c r="L12" s="9">
        <f>+'[8]Colector Janequeo I-IV'!$V$57</f>
        <v>1097.8756995092449</v>
      </c>
      <c r="M12" s="35">
        <f>+'[8]Colector Janequeo I-IV'!$U$57</f>
        <v>4.2760200607328578</v>
      </c>
      <c r="N12" s="44">
        <f t="shared" si="2"/>
        <v>3.773487875370614</v>
      </c>
      <c r="O12" s="34">
        <f t="shared" si="3"/>
        <v>16.135509854016956</v>
      </c>
      <c r="P12" s="34">
        <f t="shared" si="8"/>
        <v>0.8552040121465716</v>
      </c>
      <c r="Q12" s="34">
        <f t="shared" si="9"/>
        <v>16.990713866163528</v>
      </c>
      <c r="R12" s="35">
        <f>+'[8]Colector Janequeo I-IV'!$AA$57</f>
        <v>53.604043843817834</v>
      </c>
      <c r="S12" s="57">
        <f t="shared" si="10"/>
        <v>70.594757709981366</v>
      </c>
      <c r="U12" s="46">
        <f t="shared" si="11"/>
        <v>70.594757709981366</v>
      </c>
      <c r="V12" s="34">
        <f t="shared" si="12"/>
        <v>0</v>
      </c>
    </row>
    <row r="13" spans="1:22" x14ac:dyDescent="0.3">
      <c r="B13" s="2">
        <f t="shared" si="4"/>
        <v>2029</v>
      </c>
      <c r="C13" s="3">
        <f t="shared" si="5"/>
        <v>199.4375344397094</v>
      </c>
      <c r="D13" s="3">
        <f t="shared" si="0"/>
        <v>199.4375344397094</v>
      </c>
      <c r="E13" s="3">
        <f t="shared" si="6"/>
        <v>1.0157270222124752</v>
      </c>
      <c r="F13" s="3">
        <f t="shared" si="6"/>
        <v>500.00000000000011</v>
      </c>
      <c r="G13" s="3">
        <f>+'[9]Colector Janequeo I-IV'!$AB$57</f>
        <v>72.059076694277124</v>
      </c>
      <c r="H13" s="3">
        <f t="shared" si="1"/>
        <v>127.37845774543227</v>
      </c>
      <c r="K13" s="56">
        <f t="shared" si="7"/>
        <v>2029</v>
      </c>
      <c r="L13" s="9">
        <f>+'[9]Colector Janequeo I-IV'!$V$57</f>
        <v>1106.5826014735467</v>
      </c>
      <c r="M13" s="35">
        <f>+'[9]Colector Janequeo I-IV'!$U$57</f>
        <v>4.3684076119942246</v>
      </c>
      <c r="N13" s="44">
        <f t="shared" si="2"/>
        <v>3.7712113816879125</v>
      </c>
      <c r="O13" s="34">
        <f t="shared" si="3"/>
        <v>16.474188506204733</v>
      </c>
      <c r="P13" s="34">
        <f t="shared" si="8"/>
        <v>0.873681522398845</v>
      </c>
      <c r="Q13" s="34">
        <f t="shared" si="9"/>
        <v>17.347870028603577</v>
      </c>
      <c r="R13" s="35">
        <f>+'[9]Colector Janequeo I-IV'!$AA$57</f>
        <v>54.711206665673544</v>
      </c>
      <c r="S13" s="57">
        <f>+R13+Q13</f>
        <v>72.059076694277124</v>
      </c>
      <c r="U13" s="46">
        <f t="shared" si="11"/>
        <v>72.059076694277124</v>
      </c>
      <c r="V13" s="34">
        <f t="shared" si="12"/>
        <v>0</v>
      </c>
    </row>
    <row r="14" spans="1:22" x14ac:dyDescent="0.3">
      <c r="B14" s="2">
        <f t="shared" si="4"/>
        <v>2030</v>
      </c>
      <c r="C14" s="3">
        <f t="shared" si="5"/>
        <v>199.4375344397094</v>
      </c>
      <c r="D14" s="3">
        <f t="shared" si="0"/>
        <v>199.4375344397094</v>
      </c>
      <c r="E14" s="3">
        <f t="shared" si="6"/>
        <v>1.0157270222124752</v>
      </c>
      <c r="F14" s="3">
        <f t="shared" si="6"/>
        <v>500.00000000000011</v>
      </c>
      <c r="G14" s="3">
        <f>+'[10]Colector Janequeo I-IV'!$AB$57</f>
        <v>73.538230463305553</v>
      </c>
      <c r="H14" s="3">
        <f t="shared" si="1"/>
        <v>125.89930397640384</v>
      </c>
      <c r="K14" s="56">
        <f t="shared" si="7"/>
        <v>2030</v>
      </c>
      <c r="L14" s="9">
        <f>+'[10]Colector Janequeo I-IV'!$V$57</f>
        <v>1115.3361892392657</v>
      </c>
      <c r="M14" s="35">
        <f>+'[10]Colector Janequeo I-IV'!$U$57</f>
        <v>4.4618468961356843</v>
      </c>
      <c r="N14" s="44">
        <f t="shared" si="2"/>
        <v>3.7689354339163827</v>
      </c>
      <c r="O14" s="34">
        <f t="shared" si="3"/>
        <v>16.816412867555609</v>
      </c>
      <c r="P14" s="34">
        <f t="shared" si="8"/>
        <v>0.89236937922713688</v>
      </c>
      <c r="Q14" s="34">
        <f t="shared" si="9"/>
        <v>17.708782246782746</v>
      </c>
      <c r="R14" s="35">
        <f>+'[10]Colector Janequeo I-IV'!$AA$57</f>
        <v>55.829448216522813</v>
      </c>
      <c r="S14" s="57">
        <f>+R14+Q14</f>
        <v>73.538230463305553</v>
      </c>
      <c r="U14" s="46">
        <f t="shared" si="11"/>
        <v>73.538230463305553</v>
      </c>
      <c r="V14" s="34">
        <f t="shared" si="12"/>
        <v>0</v>
      </c>
    </row>
    <row r="15" spans="1:22" x14ac:dyDescent="0.3">
      <c r="B15" s="2">
        <f t="shared" si="4"/>
        <v>2031</v>
      </c>
      <c r="C15" s="3">
        <f t="shared" si="5"/>
        <v>199.4375344397094</v>
      </c>
      <c r="D15" s="3">
        <f t="shared" si="0"/>
        <v>199.4375344397094</v>
      </c>
      <c r="E15" s="3">
        <f t="shared" si="6"/>
        <v>1.0157270222124752</v>
      </c>
      <c r="F15" s="3">
        <f t="shared" si="6"/>
        <v>500.00000000000011</v>
      </c>
      <c r="G15" s="3">
        <f>+'[11]Colector Janequeo I-IV'!$AB$57</f>
        <v>75.029340236544414</v>
      </c>
      <c r="H15" s="3">
        <f t="shared" si="1"/>
        <v>124.40819420316498</v>
      </c>
      <c r="K15" s="56">
        <f t="shared" si="7"/>
        <v>2031</v>
      </c>
      <c r="L15" s="9">
        <f>+'[11]Colector Janequeo I-IV'!$V$57</f>
        <v>1124.1364628064016</v>
      </c>
      <c r="M15" s="35">
        <f>+'[11]Colector Janequeo I-IV'!$U$57</f>
        <v>4.5561654046014555</v>
      </c>
      <c r="N15" s="44">
        <f t="shared" si="2"/>
        <v>3.7666600759646554</v>
      </c>
      <c r="O15" s="34">
        <f t="shared" si="3"/>
        <v>17.161526329003653</v>
      </c>
      <c r="P15" s="34">
        <f t="shared" si="8"/>
        <v>0.91123308092029109</v>
      </c>
      <c r="Q15" s="34">
        <f t="shared" si="9"/>
        <v>18.072759409923943</v>
      </c>
      <c r="R15" s="35">
        <f>+'[11]Colector Janequeo I-IV'!$AA$57</f>
        <v>56.956580826620467</v>
      </c>
      <c r="S15" s="57">
        <f t="shared" si="10"/>
        <v>75.029340236544414</v>
      </c>
      <c r="U15" s="46">
        <f t="shared" si="11"/>
        <v>75.029340236544414</v>
      </c>
      <c r="V15" s="34">
        <f t="shared" si="12"/>
        <v>0</v>
      </c>
    </row>
    <row r="16" spans="1:22" x14ac:dyDescent="0.3">
      <c r="B16" s="2">
        <f t="shared" si="4"/>
        <v>2032</v>
      </c>
      <c r="C16" s="3">
        <f t="shared" si="5"/>
        <v>199.4375344397094</v>
      </c>
      <c r="D16" s="3">
        <f t="shared" si="0"/>
        <v>199.4375344397094</v>
      </c>
      <c r="E16" s="3">
        <f t="shared" si="6"/>
        <v>1.0157270222124752</v>
      </c>
      <c r="F16" s="3">
        <f t="shared" si="6"/>
        <v>500.00000000000011</v>
      </c>
      <c r="G16" s="3">
        <f>+'[12]Colector Janequeo I-IV'!$AB$57</f>
        <v>76.538179989290342</v>
      </c>
      <c r="H16" s="3">
        <f t="shared" si="1"/>
        <v>122.89935445041905</v>
      </c>
      <c r="K16" s="56">
        <f t="shared" si="7"/>
        <v>2032</v>
      </c>
      <c r="L16" s="9">
        <f>+'[12]Colector Janequeo I-IV'!$V$57</f>
        <v>1132.983422174955</v>
      </c>
      <c r="M16" s="35">
        <f>+'[12]Colector Janequeo I-IV'!$U$57</f>
        <v>4.6517159189237463</v>
      </c>
      <c r="N16" s="44">
        <f t="shared" si="2"/>
        <v>3.7643853509381944</v>
      </c>
      <c r="O16" s="34">
        <f t="shared" si="3"/>
        <v>17.510851261922554</v>
      </c>
      <c r="P16" s="34">
        <f t="shared" si="8"/>
        <v>0.93034318378474934</v>
      </c>
      <c r="Q16" s="34">
        <f t="shared" si="9"/>
        <v>18.441194445707303</v>
      </c>
      <c r="R16" s="35">
        <f>+'[12]Colector Janequeo I-IV'!$AA$57</f>
        <v>58.096985543583045</v>
      </c>
      <c r="S16" s="57">
        <f t="shared" si="10"/>
        <v>76.538179989290342</v>
      </c>
      <c r="U16" s="46">
        <f t="shared" si="11"/>
        <v>76.538179989290342</v>
      </c>
      <c r="V16" s="34">
        <f t="shared" si="12"/>
        <v>0</v>
      </c>
    </row>
    <row r="17" spans="2:22" x14ac:dyDescent="0.3">
      <c r="B17" s="2">
        <f t="shared" si="4"/>
        <v>2033</v>
      </c>
      <c r="C17" s="3">
        <f t="shared" si="5"/>
        <v>199.4375344397094</v>
      </c>
      <c r="D17" s="3">
        <f t="shared" si="0"/>
        <v>199.4375344397094</v>
      </c>
      <c r="E17" s="3">
        <f t="shared" si="6"/>
        <v>1.0157270222124752</v>
      </c>
      <c r="F17" s="3">
        <f t="shared" si="6"/>
        <v>500.00000000000011</v>
      </c>
      <c r="G17" s="3">
        <f>+'[13]Colector Janequeo I-IV'!$AB$57</f>
        <v>78.050052824527782</v>
      </c>
      <c r="H17" s="3">
        <f t="shared" si="1"/>
        <v>121.38748161518161</v>
      </c>
      <c r="K17" s="56">
        <f t="shared" si="7"/>
        <v>2033</v>
      </c>
      <c r="L17" s="9">
        <f>+'[13]Colector Janequeo I-IV'!$V$57</f>
        <v>1141.8848483118281</v>
      </c>
      <c r="M17" s="35">
        <f>+'[13]Colector Janequeo I-IV'!$U$57</f>
        <v>4.7476107015708084</v>
      </c>
      <c r="N17" s="44">
        <f t="shared" si="2"/>
        <v>3.7621093171276576</v>
      </c>
      <c r="O17" s="34">
        <f t="shared" si="3"/>
        <v>17.861030454474513</v>
      </c>
      <c r="P17" s="34">
        <f t="shared" si="8"/>
        <v>0.94952214031416171</v>
      </c>
      <c r="Q17" s="34">
        <f t="shared" si="9"/>
        <v>18.810552594788675</v>
      </c>
      <c r="R17" s="35">
        <f>+'[13]Colector Janequeo I-IV'!$AA$57</f>
        <v>59.239500229739107</v>
      </c>
      <c r="S17" s="57">
        <f t="shared" si="10"/>
        <v>78.050052824527782</v>
      </c>
      <c r="U17" s="46">
        <f t="shared" si="11"/>
        <v>78.050052824527782</v>
      </c>
      <c r="V17" s="34">
        <f t="shared" si="12"/>
        <v>0</v>
      </c>
    </row>
    <row r="18" spans="2:22" x14ac:dyDescent="0.3">
      <c r="B18" s="2">
        <f t="shared" si="4"/>
        <v>2034</v>
      </c>
      <c r="C18" s="3">
        <f t="shared" si="5"/>
        <v>199.4375344397094</v>
      </c>
      <c r="D18" s="3">
        <f t="shared" si="0"/>
        <v>199.4375344397094</v>
      </c>
      <c r="E18" s="3">
        <f t="shared" si="6"/>
        <v>1.0157270222124752</v>
      </c>
      <c r="F18" s="3">
        <f t="shared" si="6"/>
        <v>500.00000000000011</v>
      </c>
      <c r="G18" s="3">
        <f>+'[14]Colector Janequeo I-IV'!$AB$57</f>
        <v>79.576922481012474</v>
      </c>
      <c r="H18" s="3">
        <f t="shared" si="1"/>
        <v>119.86061195869692</v>
      </c>
      <c r="K18" s="56">
        <f t="shared" si="7"/>
        <v>2034</v>
      </c>
      <c r="L18" s="9">
        <f>+'[14]Colector Janequeo I-IV'!$V$57</f>
        <v>1150.8173983163128</v>
      </c>
      <c r="M18" s="35">
        <f>+'[14]Colector Janequeo I-IV'!$U$57</f>
        <v>4.8445680874263868</v>
      </c>
      <c r="N18" s="44">
        <f t="shared" si="2"/>
        <v>3.7598379681475578</v>
      </c>
      <c r="O18" s="34">
        <f t="shared" si="3"/>
        <v>18.214791034381726</v>
      </c>
      <c r="P18" s="34">
        <f t="shared" si="8"/>
        <v>0.96891361748527738</v>
      </c>
      <c r="Q18" s="34">
        <f t="shared" si="9"/>
        <v>19.183704651867004</v>
      </c>
      <c r="R18" s="35">
        <f>+'[14]Colector Janequeo I-IV'!$AA$57</f>
        <v>60.393217829145478</v>
      </c>
      <c r="S18" s="57">
        <f t="shared" si="10"/>
        <v>79.576922481012474</v>
      </c>
      <c r="U18" s="46">
        <f t="shared" si="11"/>
        <v>79.576922481012474</v>
      </c>
      <c r="V18" s="34">
        <f t="shared" si="12"/>
        <v>0</v>
      </c>
    </row>
    <row r="19" spans="2:22" x14ac:dyDescent="0.3">
      <c r="B19" s="2">
        <f t="shared" si="4"/>
        <v>2035</v>
      </c>
      <c r="C19" s="3">
        <f t="shared" si="5"/>
        <v>199.4375344397094</v>
      </c>
      <c r="D19" s="3">
        <f t="shared" si="0"/>
        <v>199.4375344397094</v>
      </c>
      <c r="E19" s="3">
        <f t="shared" si="6"/>
        <v>1.0157270222124752</v>
      </c>
      <c r="F19" s="3">
        <f t="shared" si="6"/>
        <v>500.00000000000011</v>
      </c>
      <c r="G19" s="3">
        <f>+'[15]Colector Janequeo I-IV'!$AB$57</f>
        <v>81.115510106237082</v>
      </c>
      <c r="H19" s="3">
        <f t="shared" si="1"/>
        <v>118.32202433347231</v>
      </c>
      <c r="K19" s="56">
        <f t="shared" si="7"/>
        <v>2035</v>
      </c>
      <c r="L19" s="9">
        <f>+'[15]Colector Janequeo I-IV'!$V$57</f>
        <v>1159.8121960560204</v>
      </c>
      <c r="M19" s="35">
        <f>+'[15]Colector Janequeo I-IV'!$U$57</f>
        <v>4.9424046976062757</v>
      </c>
      <c r="N19" s="44">
        <f t="shared" si="2"/>
        <v>3.7575634305413925</v>
      </c>
      <c r="O19" s="34">
        <f t="shared" si="3"/>
        <v>18.571399150661332</v>
      </c>
      <c r="P19" s="34">
        <f t="shared" si="8"/>
        <v>0.98848093952125515</v>
      </c>
      <c r="Q19" s="34">
        <f t="shared" si="9"/>
        <v>19.559880090182588</v>
      </c>
      <c r="R19" s="35">
        <f>+'[15]Colector Janequeo I-IV'!$AA$57</f>
        <v>61.555630016054486</v>
      </c>
      <c r="S19" s="57">
        <f t="shared" si="10"/>
        <v>81.115510106237082</v>
      </c>
      <c r="U19" s="46">
        <f t="shared" si="11"/>
        <v>81.115510106237082</v>
      </c>
      <c r="V19" s="34">
        <f t="shared" si="12"/>
        <v>0</v>
      </c>
    </row>
    <row r="20" spans="2:22" x14ac:dyDescent="0.3">
      <c r="B20" s="2">
        <f t="shared" si="4"/>
        <v>2036</v>
      </c>
      <c r="C20" s="3">
        <f t="shared" si="5"/>
        <v>199.4375344397094</v>
      </c>
      <c r="D20" s="3">
        <f t="shared" si="0"/>
        <v>199.4375344397094</v>
      </c>
      <c r="E20" s="3">
        <f t="shared" si="6"/>
        <v>1.0157270222124752</v>
      </c>
      <c r="F20" s="3">
        <f t="shared" si="6"/>
        <v>500.00000000000011</v>
      </c>
      <c r="G20" s="3">
        <f>+'[16]Colector Janequeo I-IV'!$AB$57</f>
        <v>82.67200275765785</v>
      </c>
      <c r="H20" s="3">
        <f t="shared" si="1"/>
        <v>116.76553168205155</v>
      </c>
      <c r="K20" s="56">
        <f t="shared" si="7"/>
        <v>2036</v>
      </c>
      <c r="L20" s="9">
        <f>+'[16]Colector Janequeo I-IV'!$V$57</f>
        <v>1168.8458986302423</v>
      </c>
      <c r="M20" s="35">
        <f>+'[16]Colector Janequeo I-IV'!$U$57</f>
        <v>5.0414890016386416</v>
      </c>
      <c r="N20" s="44">
        <f t="shared" si="2"/>
        <v>3.7552916634897966</v>
      </c>
      <c r="O20" s="34">
        <f t="shared" si="3"/>
        <v>18.932261619429088</v>
      </c>
      <c r="P20" s="34">
        <f t="shared" si="8"/>
        <v>1.0082978003277283</v>
      </c>
      <c r="Q20" s="34">
        <f t="shared" si="9"/>
        <v>19.940559419756816</v>
      </c>
      <c r="R20" s="35">
        <f>+'[16]Colector Janequeo I-IV'!$AA$57</f>
        <v>62.731443337901027</v>
      </c>
      <c r="S20" s="57">
        <f t="shared" si="10"/>
        <v>82.67200275765785</v>
      </c>
      <c r="U20" s="46">
        <f t="shared" si="11"/>
        <v>82.67200275765785</v>
      </c>
      <c r="V20" s="34">
        <f t="shared" si="12"/>
        <v>0</v>
      </c>
    </row>
    <row r="21" spans="2:22" ht="13.8" thickBot="1" x14ac:dyDescent="0.35">
      <c r="B21" s="2">
        <f t="shared" si="4"/>
        <v>2037</v>
      </c>
      <c r="C21" s="3">
        <f t="shared" si="5"/>
        <v>199.4375344397094</v>
      </c>
      <c r="D21" s="3">
        <f t="shared" si="0"/>
        <v>199.4375344397094</v>
      </c>
      <c r="E21" s="3">
        <f t="shared" si="6"/>
        <v>1.0157270222124752</v>
      </c>
      <c r="F21" s="3">
        <f t="shared" si="6"/>
        <v>500.00000000000011</v>
      </c>
      <c r="G21" s="3">
        <f>+'[17]Colector Janequeo I-IV'!$AB$57</f>
        <v>84.230999121215916</v>
      </c>
      <c r="H21" s="3">
        <f t="shared" si="1"/>
        <v>115.20653531849348</v>
      </c>
      <c r="I21" s="13">
        <f>+G21/G6-1</f>
        <v>0.36861705717774984</v>
      </c>
      <c r="K21" s="58">
        <f t="shared" si="7"/>
        <v>2037</v>
      </c>
      <c r="L21" s="59">
        <f>+'[17]Colector Janequeo I-IV'!$V$57</f>
        <v>1177.9340679727843</v>
      </c>
      <c r="M21" s="65">
        <f>+'[17]Colector Janequeo I-IV'!$U$57</f>
        <v>5.1408910156714001</v>
      </c>
      <c r="N21" s="61">
        <f t="shared" si="2"/>
        <v>3.7530187926359493</v>
      </c>
      <c r="O21" s="60">
        <f t="shared" si="3"/>
        <v>19.293860592708079</v>
      </c>
      <c r="P21" s="60">
        <f t="shared" si="8"/>
        <v>1.0281782031342801</v>
      </c>
      <c r="Q21" s="60">
        <f t="shared" si="9"/>
        <v>20.32203879584236</v>
      </c>
      <c r="R21" s="65">
        <f>+'[17]Colector Janequeo I-IV'!$AA$57</f>
        <v>63.908960325373556</v>
      </c>
      <c r="S21" s="62">
        <f t="shared" si="10"/>
        <v>84.230999121215916</v>
      </c>
      <c r="U21" s="46">
        <f t="shared" si="11"/>
        <v>84.230999121215916</v>
      </c>
      <c r="V21" s="34">
        <f t="shared" si="12"/>
        <v>0</v>
      </c>
    </row>
    <row r="22" spans="2:22" x14ac:dyDescent="0.3">
      <c r="K22" s="43"/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V21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55</v>
      </c>
      <c r="E2" s="6" t="s">
        <v>7</v>
      </c>
      <c r="F2" s="7">
        <f>+'[17]Colector Janequeo I-IV'!$N$47</f>
        <v>333.36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199</v>
      </c>
      <c r="O3" s="12" t="s">
        <v>200</v>
      </c>
      <c r="S3" s="52"/>
    </row>
    <row r="4" spans="1:22" ht="13.5" customHeight="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Janequeo II'!B6</f>
        <v>2022</v>
      </c>
      <c r="C6" s="3">
        <f>+SUMPRODUCT('[17]Colector Janequeo I-IV'!$AL$35:$AL$47,'[17]Colector Janequeo I-IV'!$M$35:$M$47)/F2</f>
        <v>148.63873166436895</v>
      </c>
      <c r="D6" s="3">
        <f t="shared" ref="D6:D21" si="0">+C6</f>
        <v>148.63873166436895</v>
      </c>
      <c r="E6" s="3">
        <f>D6/(0.25*PI()*(F6/1000)^2)/1000</f>
        <v>0.75701084413741249</v>
      </c>
      <c r="F6" s="3">
        <f>+SUMPRODUCT('[17]Colector Janequeo I-IV'!$F$35:$F$47,'[17]Colector Janequeo I-IV'!$M$35:$M$47)/F2</f>
        <v>500</v>
      </c>
      <c r="G6" s="3">
        <f>+'[2]Colector Janequeo I-IV'!$AB$47</f>
        <v>51.105425731961731</v>
      </c>
      <c r="H6" s="3">
        <f t="shared" ref="H6:H21" si="1">+D6-G6</f>
        <v>97.533305932407217</v>
      </c>
      <c r="K6" s="56">
        <f>+B6</f>
        <v>2022</v>
      </c>
      <c r="L6" s="9">
        <f>+'[2]Colector Janequeo I-IV'!$V$47</f>
        <v>4110.4124128107906</v>
      </c>
      <c r="M6" s="35">
        <f>+'[2]Colector Janequeo I-IV'!$U$47</f>
        <v>10.24502799665899</v>
      </c>
      <c r="N6" s="44">
        <f t="shared" ref="N6:N21" si="2">1+(14/(4+(SQRT(L6/1000))))</f>
        <v>3.3227203576022535</v>
      </c>
      <c r="O6" s="34">
        <f t="shared" ref="O6:O21" si="3">+N6*M6</f>
        <v>34.041363088703861</v>
      </c>
      <c r="P6" s="34">
        <f>+M6*$P$4</f>
        <v>2.0490055993317982</v>
      </c>
      <c r="Q6" s="34">
        <f>+P6+O6</f>
        <v>36.09036868803566</v>
      </c>
      <c r="R6" s="35">
        <f>+'[2]Colector Janequeo I-IV'!$AA$47</f>
        <v>15.015057043926067</v>
      </c>
      <c r="S6" s="57">
        <f>+R6+Q6</f>
        <v>51.105425731961731</v>
      </c>
      <c r="U6" s="46">
        <f>+G6</f>
        <v>51.105425731961731</v>
      </c>
      <c r="V6" s="34">
        <f>+U6-S6</f>
        <v>0</v>
      </c>
    </row>
    <row r="7" spans="1:22" x14ac:dyDescent="0.3">
      <c r="B7" s="2">
        <f t="shared" ref="B7:B21" si="4">+B6+1</f>
        <v>2023</v>
      </c>
      <c r="C7" s="3">
        <f t="shared" ref="C7:C21" si="5">+C6</f>
        <v>148.63873166436895</v>
      </c>
      <c r="D7" s="3">
        <f t="shared" si="0"/>
        <v>148.63873166436895</v>
      </c>
      <c r="E7" s="3">
        <f t="shared" ref="E7:F21" si="6">+E6</f>
        <v>0.75701084413741249</v>
      </c>
      <c r="F7" s="3">
        <f t="shared" si="6"/>
        <v>500</v>
      </c>
      <c r="G7" s="3">
        <f>+'[3]Colector Janequeo I-IV'!$AB$47</f>
        <v>52.544745124989049</v>
      </c>
      <c r="H7" s="3">
        <f t="shared" si="1"/>
        <v>96.093986539379898</v>
      </c>
      <c r="K7" s="56">
        <f t="shared" ref="K7:K21" si="7">+B7</f>
        <v>2023</v>
      </c>
      <c r="L7" s="9">
        <f>+'[3]Colector Janequeo I-IV'!$V$47</f>
        <v>4143.6958238790476</v>
      </c>
      <c r="M7" s="35">
        <f>+'[3]Colector Janequeo I-IV'!$U$47</f>
        <v>10.568288080571246</v>
      </c>
      <c r="N7" s="44">
        <f t="shared" si="2"/>
        <v>3.31956786114407</v>
      </c>
      <c r="O7" s="34">
        <f t="shared" si="3"/>
        <v>35.082149459576264</v>
      </c>
      <c r="P7" s="34">
        <f t="shared" ref="P7:P21" si="8">+M7*$P$4</f>
        <v>2.1136576161142493</v>
      </c>
      <c r="Q7" s="34">
        <f t="shared" ref="Q7:Q21" si="9">+P7+O7</f>
        <v>37.19580707569051</v>
      </c>
      <c r="R7" s="35">
        <f>+'[3]Colector Janequeo I-IV'!$AA$47</f>
        <v>15.348938049298539</v>
      </c>
      <c r="S7" s="57">
        <f t="shared" ref="S7:S21" si="10">+R7+Q7</f>
        <v>52.544745124989049</v>
      </c>
      <c r="U7" s="46">
        <f t="shared" ref="U7:U21" si="11">+G7</f>
        <v>52.544745124989049</v>
      </c>
      <c r="V7" s="34">
        <f t="shared" ref="V7:V21" si="12">+U7-S7</f>
        <v>0</v>
      </c>
    </row>
    <row r="8" spans="1:22" x14ac:dyDescent="0.3">
      <c r="B8" s="2">
        <f t="shared" si="4"/>
        <v>2024</v>
      </c>
      <c r="C8" s="3">
        <f t="shared" si="5"/>
        <v>148.63873166436895</v>
      </c>
      <c r="D8" s="3">
        <f t="shared" si="0"/>
        <v>148.63873166436895</v>
      </c>
      <c r="E8" s="3">
        <f t="shared" si="6"/>
        <v>0.75701084413741249</v>
      </c>
      <c r="F8" s="3">
        <f t="shared" si="6"/>
        <v>500</v>
      </c>
      <c r="G8" s="3">
        <f>+'[4]Colector Janequeo I-IV'!$AB$47</f>
        <v>53.626820529565094</v>
      </c>
      <c r="H8" s="3">
        <f t="shared" si="1"/>
        <v>95.011911134803853</v>
      </c>
      <c r="K8" s="56">
        <f t="shared" si="7"/>
        <v>2024</v>
      </c>
      <c r="L8" s="9">
        <f>+'[4]Colector Janequeo I-IV'!$V$47</f>
        <v>4177.1320513433939</v>
      </c>
      <c r="M8" s="35">
        <f>+'[4]Colector Janequeo I-IV'!$U$47</f>
        <v>10.812703414608187</v>
      </c>
      <c r="N8" s="44">
        <f t="shared" si="2"/>
        <v>3.3164221659431306</v>
      </c>
      <c r="O8" s="34">
        <f t="shared" si="3"/>
        <v>35.85948927797557</v>
      </c>
      <c r="P8" s="34">
        <f t="shared" si="8"/>
        <v>2.1625406829216374</v>
      </c>
      <c r="Q8" s="34">
        <f t="shared" si="9"/>
        <v>38.022029960897207</v>
      </c>
      <c r="R8" s="35">
        <f>+'[4]Colector Janequeo I-IV'!$AA$47</f>
        <v>15.604790568667887</v>
      </c>
      <c r="S8" s="57">
        <f t="shared" si="10"/>
        <v>53.626820529565094</v>
      </c>
      <c r="U8" s="46">
        <f t="shared" si="11"/>
        <v>53.626820529565094</v>
      </c>
      <c r="V8" s="34">
        <f t="shared" si="12"/>
        <v>0</v>
      </c>
    </row>
    <row r="9" spans="1:22" x14ac:dyDescent="0.3">
      <c r="B9" s="2">
        <f t="shared" si="4"/>
        <v>2025</v>
      </c>
      <c r="C9" s="3">
        <f t="shared" si="5"/>
        <v>148.63873166436895</v>
      </c>
      <c r="D9" s="3">
        <f t="shared" si="0"/>
        <v>148.63873166436895</v>
      </c>
      <c r="E9" s="3">
        <f t="shared" si="6"/>
        <v>0.75701084413741249</v>
      </c>
      <c r="F9" s="3">
        <f t="shared" si="6"/>
        <v>500</v>
      </c>
      <c r="G9" s="3">
        <f>+'[5]Colector Janequeo I-IV'!$AB$47</f>
        <v>54.713520093393278</v>
      </c>
      <c r="H9" s="3">
        <f t="shared" si="1"/>
        <v>93.925211570975677</v>
      </c>
      <c r="K9" s="56">
        <f t="shared" si="7"/>
        <v>2025</v>
      </c>
      <c r="L9" s="9">
        <f>+'[5]Colector Janequeo I-IV'!$V$47</f>
        <v>4210.6905319246125</v>
      </c>
      <c r="M9" s="35">
        <f>+'[5]Colector Janequeo I-IV'!$U$47</f>
        <v>11.05821644032039</v>
      </c>
      <c r="N9" s="44">
        <f t="shared" si="2"/>
        <v>3.3132861188871541</v>
      </c>
      <c r="O9" s="34">
        <f t="shared" si="3"/>
        <v>36.639035031363264</v>
      </c>
      <c r="P9" s="34">
        <f t="shared" si="8"/>
        <v>2.211643288064078</v>
      </c>
      <c r="Q9" s="34">
        <f t="shared" si="9"/>
        <v>38.850678319427345</v>
      </c>
      <c r="R9" s="35">
        <f>+'[5]Colector Janequeo I-IV'!$AA$47</f>
        <v>15.862841773965934</v>
      </c>
      <c r="S9" s="57">
        <f t="shared" si="10"/>
        <v>54.713520093393278</v>
      </c>
      <c r="U9" s="46">
        <f t="shared" si="11"/>
        <v>54.713520093393278</v>
      </c>
      <c r="V9" s="34">
        <f t="shared" si="12"/>
        <v>0</v>
      </c>
    </row>
    <row r="10" spans="1:22" x14ac:dyDescent="0.3">
      <c r="B10" s="2">
        <f t="shared" si="4"/>
        <v>2026</v>
      </c>
      <c r="C10" s="3">
        <f t="shared" si="5"/>
        <v>148.63873166436895</v>
      </c>
      <c r="D10" s="3">
        <f t="shared" si="0"/>
        <v>148.63873166436895</v>
      </c>
      <c r="E10" s="3">
        <f t="shared" si="6"/>
        <v>0.75701084413741249</v>
      </c>
      <c r="F10" s="3">
        <f t="shared" si="6"/>
        <v>500</v>
      </c>
      <c r="G10" s="3">
        <f>+'[6]Colector Janequeo I-IV'!$AB$47</f>
        <v>55.812829487658959</v>
      </c>
      <c r="H10" s="3">
        <f t="shared" si="1"/>
        <v>92.825902176709988</v>
      </c>
      <c r="K10" s="56">
        <f t="shared" si="7"/>
        <v>2026</v>
      </c>
      <c r="L10" s="9">
        <f>+'[6]Colector Janequeo I-IV'!$V$47</f>
        <v>4244.4323921811374</v>
      </c>
      <c r="M10" s="35">
        <f>+'[6]Colector Janequeo I-IV'!$U$47</f>
        <v>11.306604627989351</v>
      </c>
      <c r="N10" s="44">
        <f t="shared" si="2"/>
        <v>3.3101540076642775</v>
      </c>
      <c r="O10" s="34">
        <f t="shared" si="3"/>
        <v>37.426602622414421</v>
      </c>
      <c r="P10" s="34">
        <f t="shared" si="8"/>
        <v>2.2613209255978703</v>
      </c>
      <c r="Q10" s="34">
        <f t="shared" si="9"/>
        <v>39.687923548012293</v>
      </c>
      <c r="R10" s="35">
        <f>+'[6]Colector Janequeo I-IV'!$AA$47</f>
        <v>16.12490593964667</v>
      </c>
      <c r="S10" s="57">
        <f t="shared" si="10"/>
        <v>55.812829487658959</v>
      </c>
      <c r="U10" s="46">
        <f t="shared" si="11"/>
        <v>55.812829487658959</v>
      </c>
      <c r="V10" s="34">
        <f t="shared" si="12"/>
        <v>0</v>
      </c>
    </row>
    <row r="11" spans="1:22" x14ac:dyDescent="0.3">
      <c r="B11" s="2">
        <f t="shared" si="4"/>
        <v>2027</v>
      </c>
      <c r="C11" s="3">
        <f t="shared" si="5"/>
        <v>148.63873166436895</v>
      </c>
      <c r="D11" s="3">
        <f t="shared" si="0"/>
        <v>148.63873166436895</v>
      </c>
      <c r="E11" s="3">
        <f t="shared" si="6"/>
        <v>0.75701084413741249</v>
      </c>
      <c r="F11" s="3">
        <f t="shared" si="6"/>
        <v>500</v>
      </c>
      <c r="G11" s="3">
        <f>+'[7]Colector Janequeo I-IV'!$AB$47</f>
        <v>56.922734117548814</v>
      </c>
      <c r="H11" s="3">
        <f t="shared" si="1"/>
        <v>91.715997546820134</v>
      </c>
      <c r="K11" s="56">
        <f t="shared" si="7"/>
        <v>2027</v>
      </c>
      <c r="L11" s="9">
        <f>+'[7]Colector Janequeo I-IV'!$V$47</f>
        <v>4278.3270688337525</v>
      </c>
      <c r="M11" s="35">
        <f>+'[7]Colector Janequeo I-IV'!$U$47</f>
        <v>11.557421486307149</v>
      </c>
      <c r="N11" s="44">
        <f t="shared" si="2"/>
        <v>3.3070286974257375</v>
      </c>
      <c r="O11" s="34">
        <f t="shared" si="3"/>
        <v>38.220724523462565</v>
      </c>
      <c r="P11" s="34">
        <f t="shared" si="8"/>
        <v>2.3114842972614298</v>
      </c>
      <c r="Q11" s="34">
        <f t="shared" si="9"/>
        <v>40.532208820723994</v>
      </c>
      <c r="R11" s="35">
        <f>+'[7]Colector Janequeo I-IV'!$AA$47</f>
        <v>16.390525296824819</v>
      </c>
      <c r="S11" s="57">
        <f t="shared" si="10"/>
        <v>56.922734117548814</v>
      </c>
      <c r="U11" s="46">
        <f t="shared" si="11"/>
        <v>56.922734117548814</v>
      </c>
      <c r="V11" s="34">
        <f t="shared" si="12"/>
        <v>0</v>
      </c>
    </row>
    <row r="12" spans="1:22" x14ac:dyDescent="0.3">
      <c r="B12" s="2">
        <f t="shared" si="4"/>
        <v>2028</v>
      </c>
      <c r="C12" s="3">
        <f t="shared" si="5"/>
        <v>148.63873166436895</v>
      </c>
      <c r="D12" s="3">
        <f t="shared" si="0"/>
        <v>148.63873166436895</v>
      </c>
      <c r="E12" s="3">
        <f t="shared" si="6"/>
        <v>0.75701084413741249</v>
      </c>
      <c r="F12" s="3">
        <f t="shared" si="6"/>
        <v>500</v>
      </c>
      <c r="G12" s="3">
        <f>+'[8]Colector Janequeo I-IV'!$AB$47</f>
        <v>58.047410452713962</v>
      </c>
      <c r="H12" s="3">
        <f t="shared" si="1"/>
        <v>90.591321211654986</v>
      </c>
      <c r="K12" s="56">
        <f t="shared" si="7"/>
        <v>2028</v>
      </c>
      <c r="L12" s="9">
        <f>+'[8]Colector Janequeo I-IV'!$V$47</f>
        <v>4312.4051251616738</v>
      </c>
      <c r="M12" s="35">
        <f>+'[8]Colector Janequeo I-IV'!$U$47</f>
        <v>11.811598164645773</v>
      </c>
      <c r="N12" s="44">
        <f t="shared" si="2"/>
        <v>3.303907397063325</v>
      </c>
      <c r="O12" s="34">
        <f t="shared" si="3"/>
        <v>39.024426547312764</v>
      </c>
      <c r="P12" s="34">
        <f t="shared" si="8"/>
        <v>2.3623196329291547</v>
      </c>
      <c r="Q12" s="34">
        <f t="shared" si="9"/>
        <v>41.386746180241921</v>
      </c>
      <c r="R12" s="35">
        <f>+'[8]Colector Janequeo I-IV'!$AA$47</f>
        <v>16.66066427247204</v>
      </c>
      <c r="S12" s="57">
        <f t="shared" si="10"/>
        <v>58.047410452713962</v>
      </c>
      <c r="U12" s="46">
        <f t="shared" si="11"/>
        <v>58.047410452713962</v>
      </c>
      <c r="V12" s="34">
        <f t="shared" si="12"/>
        <v>0</v>
      </c>
    </row>
    <row r="13" spans="1:22" x14ac:dyDescent="0.3">
      <c r="B13" s="2">
        <f t="shared" si="4"/>
        <v>2029</v>
      </c>
      <c r="C13" s="3">
        <f t="shared" si="5"/>
        <v>148.63873166436895</v>
      </c>
      <c r="D13" s="3">
        <f t="shared" si="0"/>
        <v>148.63873166436895</v>
      </c>
      <c r="E13" s="3">
        <f t="shared" si="6"/>
        <v>0.75701084413741249</v>
      </c>
      <c r="F13" s="3">
        <f t="shared" si="6"/>
        <v>500</v>
      </c>
      <c r="G13" s="3">
        <f>+'[9]Colector Janequeo I-IV'!$AB$47</f>
        <v>59.176315613288928</v>
      </c>
      <c r="H13" s="3">
        <f t="shared" si="1"/>
        <v>89.462416051080027</v>
      </c>
      <c r="K13" s="56">
        <f t="shared" si="7"/>
        <v>2029</v>
      </c>
      <c r="L13" s="9">
        <f>+'[9]Colector Janequeo I-IV'!$V$47</f>
        <v>4346.6054346064666</v>
      </c>
      <c r="M13" s="35">
        <f>+'[9]Colector Janequeo I-IV'!$U$47</f>
        <v>12.066799172923517</v>
      </c>
      <c r="N13" s="44">
        <f t="shared" si="2"/>
        <v>3.3007957037173008</v>
      </c>
      <c r="O13" s="34">
        <f t="shared" si="3"/>
        <v>39.830038867605424</v>
      </c>
      <c r="P13" s="34">
        <f t="shared" si="8"/>
        <v>2.4133598345847034</v>
      </c>
      <c r="Q13" s="34">
        <f t="shared" si="9"/>
        <v>42.243398702190127</v>
      </c>
      <c r="R13" s="35">
        <f>+'[9]Colector Janequeo I-IV'!$AA$47</f>
        <v>16.9329169110988</v>
      </c>
      <c r="S13" s="57">
        <f t="shared" si="10"/>
        <v>59.176315613288928</v>
      </c>
      <c r="U13" s="46">
        <f t="shared" si="11"/>
        <v>59.176315613288928</v>
      </c>
      <c r="V13" s="34">
        <f t="shared" si="12"/>
        <v>0</v>
      </c>
    </row>
    <row r="14" spans="1:22" x14ac:dyDescent="0.3">
      <c r="B14" s="2">
        <f t="shared" si="4"/>
        <v>2030</v>
      </c>
      <c r="C14" s="3">
        <f t="shared" si="5"/>
        <v>148.63873166436895</v>
      </c>
      <c r="D14" s="3">
        <f t="shared" si="0"/>
        <v>148.63873166436895</v>
      </c>
      <c r="E14" s="3">
        <f t="shared" si="6"/>
        <v>0.75701084413741249</v>
      </c>
      <c r="F14" s="3">
        <f t="shared" si="6"/>
        <v>500</v>
      </c>
      <c r="G14" s="3">
        <f>+'[10]Colector Janequeo I-IV'!$AB$47</f>
        <v>60.317901958993041</v>
      </c>
      <c r="H14" s="3">
        <f t="shared" si="1"/>
        <v>88.3208297053759</v>
      </c>
      <c r="K14" s="56">
        <f t="shared" si="7"/>
        <v>2030</v>
      </c>
      <c r="L14" s="9">
        <f>+'[10]Colector Janequeo I-IV'!$V$47</f>
        <v>4380.9891237265674</v>
      </c>
      <c r="M14" s="35">
        <f>+'[10]Colector Janequeo I-IV'!$U$47</f>
        <v>12.324905370133905</v>
      </c>
      <c r="N14" s="44">
        <f t="shared" si="2"/>
        <v>3.2976880535544213</v>
      </c>
      <c r="O14" s="34">
        <f t="shared" si="3"/>
        <v>40.643693200279309</v>
      </c>
      <c r="P14" s="34">
        <f t="shared" si="8"/>
        <v>2.464981074026781</v>
      </c>
      <c r="Q14" s="34">
        <f t="shared" si="9"/>
        <v>43.10867427430609</v>
      </c>
      <c r="R14" s="35">
        <f>+'[10]Colector Janequeo I-IV'!$AA$47</f>
        <v>17.209227684686951</v>
      </c>
      <c r="S14" s="57">
        <f t="shared" si="10"/>
        <v>60.317901958993041</v>
      </c>
      <c r="U14" s="46">
        <f t="shared" si="11"/>
        <v>60.317901958993041</v>
      </c>
      <c r="V14" s="34">
        <f t="shared" si="12"/>
        <v>0</v>
      </c>
    </row>
    <row r="15" spans="1:22" x14ac:dyDescent="0.3">
      <c r="B15" s="2">
        <f t="shared" si="4"/>
        <v>2031</v>
      </c>
      <c r="C15" s="3">
        <f t="shared" si="5"/>
        <v>148.63873166436895</v>
      </c>
      <c r="D15" s="3">
        <f t="shared" si="0"/>
        <v>148.63873166436895</v>
      </c>
      <c r="E15" s="3">
        <f t="shared" si="6"/>
        <v>0.75701084413741249</v>
      </c>
      <c r="F15" s="3">
        <f t="shared" si="6"/>
        <v>500</v>
      </c>
      <c r="G15" s="3">
        <f>+'[11]Colector Janequeo I-IV'!$AB$47</f>
        <v>61.469995333041247</v>
      </c>
      <c r="H15" s="3">
        <f t="shared" si="1"/>
        <v>87.168736331327693</v>
      </c>
      <c r="K15" s="56">
        <f t="shared" si="7"/>
        <v>2031</v>
      </c>
      <c r="L15" s="9">
        <f>+'[11]Colector Janequeo I-IV'!$V$47</f>
        <v>4415.5561925219754</v>
      </c>
      <c r="M15" s="35">
        <f>+'[11]Colector Janequeo I-IV'!$U$47</f>
        <v>12.585440237993126</v>
      </c>
      <c r="N15" s="44">
        <f t="shared" si="2"/>
        <v>3.2945844988262158</v>
      </c>
      <c r="O15" s="34">
        <f t="shared" si="3"/>
        <v>41.463796318995875</v>
      </c>
      <c r="P15" s="34">
        <f t="shared" si="8"/>
        <v>2.5170880475986253</v>
      </c>
      <c r="Q15" s="34">
        <f t="shared" si="9"/>
        <v>43.980884366594502</v>
      </c>
      <c r="R15" s="35">
        <f>+'[11]Colector Janequeo I-IV'!$AA$47</f>
        <v>17.489110966446745</v>
      </c>
      <c r="S15" s="57">
        <f t="shared" si="10"/>
        <v>61.469995333041247</v>
      </c>
      <c r="U15" s="46">
        <f t="shared" si="11"/>
        <v>61.469995333041247</v>
      </c>
      <c r="V15" s="34">
        <f t="shared" si="12"/>
        <v>0</v>
      </c>
    </row>
    <row r="16" spans="1:22" x14ac:dyDescent="0.3">
      <c r="B16" s="2">
        <f t="shared" si="4"/>
        <v>2032</v>
      </c>
      <c r="C16" s="3">
        <f t="shared" si="5"/>
        <v>148.63873166436895</v>
      </c>
      <c r="D16" s="3">
        <f t="shared" si="0"/>
        <v>148.63873166436895</v>
      </c>
      <c r="E16" s="3">
        <f t="shared" si="6"/>
        <v>0.75701084413741249</v>
      </c>
      <c r="F16" s="3">
        <f t="shared" si="6"/>
        <v>500</v>
      </c>
      <c r="G16" s="3">
        <f>+'[12]Colector Janequeo I-IV'!$AB$47</f>
        <v>62.636991021928402</v>
      </c>
      <c r="H16" s="3">
        <f t="shared" si="1"/>
        <v>86.001740642440552</v>
      </c>
      <c r="K16" s="56">
        <f t="shared" si="7"/>
        <v>2032</v>
      </c>
      <c r="L16" s="9">
        <f>+'[12]Colector Janequeo I-IV'!$V$47</f>
        <v>4450.3066409926905</v>
      </c>
      <c r="M16" s="35">
        <f>+'[12]Colector Janequeo I-IV'!$U$47</f>
        <v>12.849378260633438</v>
      </c>
      <c r="N16" s="44">
        <f t="shared" si="2"/>
        <v>3.29148509045636</v>
      </c>
      <c r="O16" s="34">
        <f t="shared" si="3"/>
        <v>42.293536966509038</v>
      </c>
      <c r="P16" s="34">
        <f t="shared" si="8"/>
        <v>2.5698756521266879</v>
      </c>
      <c r="Q16" s="34">
        <f t="shared" si="9"/>
        <v>44.863412618635728</v>
      </c>
      <c r="R16" s="35">
        <f>+'[12]Colector Janequeo I-IV'!$AA$47</f>
        <v>17.773578403292674</v>
      </c>
      <c r="S16" s="57">
        <f t="shared" si="10"/>
        <v>62.636991021928402</v>
      </c>
      <c r="U16" s="46">
        <f t="shared" si="11"/>
        <v>62.636991021928402</v>
      </c>
      <c r="V16" s="34">
        <f t="shared" si="12"/>
        <v>0</v>
      </c>
    </row>
    <row r="17" spans="2:22" x14ac:dyDescent="0.3">
      <c r="B17" s="2">
        <f t="shared" si="4"/>
        <v>2033</v>
      </c>
      <c r="C17" s="3">
        <f t="shared" si="5"/>
        <v>148.63873166436895</v>
      </c>
      <c r="D17" s="3">
        <f t="shared" si="0"/>
        <v>148.63873166436895</v>
      </c>
      <c r="E17" s="3">
        <f t="shared" si="6"/>
        <v>0.75701084413741249</v>
      </c>
      <c r="F17" s="3">
        <f t="shared" si="6"/>
        <v>500</v>
      </c>
      <c r="G17" s="3">
        <f>+'[13]Colector Janequeo I-IV'!$AB$47</f>
        <v>63.807744689341014</v>
      </c>
      <c r="H17" s="3">
        <f t="shared" si="1"/>
        <v>84.83098697502794</v>
      </c>
      <c r="K17" s="56">
        <f t="shared" si="7"/>
        <v>2033</v>
      </c>
      <c r="L17" s="9">
        <f>+'[13]Colector Janequeo I-IV'!$V$47</f>
        <v>4485.2710324179297</v>
      </c>
      <c r="M17" s="35">
        <f>+'[13]Colector Janequeo I-IV'!$U$47</f>
        <v>13.114267251476717</v>
      </c>
      <c r="N17" s="44">
        <f t="shared" si="2"/>
        <v>3.2883871790350945</v>
      </c>
      <c r="O17" s="34">
        <f t="shared" si="3"/>
        <v>43.124788292195845</v>
      </c>
      <c r="P17" s="34">
        <f t="shared" si="8"/>
        <v>2.6228534502953433</v>
      </c>
      <c r="Q17" s="34">
        <f t="shared" si="9"/>
        <v>45.74764174249119</v>
      </c>
      <c r="R17" s="35">
        <f>+'[13]Colector Janequeo I-IV'!$AA$47</f>
        <v>18.060102946849824</v>
      </c>
      <c r="S17" s="57">
        <f t="shared" si="10"/>
        <v>63.807744689341014</v>
      </c>
      <c r="U17" s="46">
        <f t="shared" si="11"/>
        <v>63.807744689341014</v>
      </c>
      <c r="V17" s="34">
        <f t="shared" si="12"/>
        <v>0</v>
      </c>
    </row>
    <row r="18" spans="2:22" x14ac:dyDescent="0.3">
      <c r="B18" s="2">
        <f t="shared" si="4"/>
        <v>2034</v>
      </c>
      <c r="C18" s="3">
        <f t="shared" si="5"/>
        <v>148.63873166436895</v>
      </c>
      <c r="D18" s="3">
        <f t="shared" si="0"/>
        <v>148.63873166436895</v>
      </c>
      <c r="E18" s="3">
        <f t="shared" si="6"/>
        <v>0.75701084413741249</v>
      </c>
      <c r="F18" s="3">
        <f t="shared" si="6"/>
        <v>500</v>
      </c>
      <c r="G18" s="3">
        <f>+'[14]Colector Janequeo I-IV'!$AB$47</f>
        <v>64.991298673187217</v>
      </c>
      <c r="H18" s="3">
        <f t="shared" si="1"/>
        <v>83.647432991181731</v>
      </c>
      <c r="K18" s="56">
        <f t="shared" si="7"/>
        <v>2034</v>
      </c>
      <c r="L18" s="9">
        <f>+'[14]Colector Janequeo I-IV'!$V$47</f>
        <v>4520.3576769600413</v>
      </c>
      <c r="M18" s="35">
        <f>+'[14]Colector Janequeo I-IV'!$U$47</f>
        <v>13.382091458228526</v>
      </c>
      <c r="N18" s="44">
        <f t="shared" si="2"/>
        <v>3.2852989099978269</v>
      </c>
      <c r="O18" s="34">
        <f t="shared" si="3"/>
        <v>43.964170481209408</v>
      </c>
      <c r="P18" s="34">
        <f t="shared" si="8"/>
        <v>2.6764182916457053</v>
      </c>
      <c r="Q18" s="34">
        <f t="shared" si="9"/>
        <v>46.640588772855111</v>
      </c>
      <c r="R18" s="35">
        <f>+'[14]Colector Janequeo I-IV'!$AA$47</f>
        <v>18.350709900332109</v>
      </c>
      <c r="S18" s="57">
        <f t="shared" si="10"/>
        <v>64.991298673187217</v>
      </c>
      <c r="U18" s="46">
        <f t="shared" si="11"/>
        <v>64.991298673187217</v>
      </c>
      <c r="V18" s="34">
        <f t="shared" si="12"/>
        <v>0</v>
      </c>
    </row>
    <row r="19" spans="2:22" x14ac:dyDescent="0.3">
      <c r="B19" s="2">
        <f t="shared" si="4"/>
        <v>2035</v>
      </c>
      <c r="C19" s="3">
        <f t="shared" si="5"/>
        <v>148.63873166436895</v>
      </c>
      <c r="D19" s="3">
        <f t="shared" si="0"/>
        <v>148.63873166436895</v>
      </c>
      <c r="E19" s="3">
        <f t="shared" si="6"/>
        <v>0.75701084413741249</v>
      </c>
      <c r="F19" s="3">
        <f t="shared" si="6"/>
        <v>500</v>
      </c>
      <c r="G19" s="3">
        <f>+'[15]Colector Janequeo I-IV'!$AB$47</f>
        <v>66.18524164797941</v>
      </c>
      <c r="H19" s="3">
        <f t="shared" si="1"/>
        <v>82.453490016389537</v>
      </c>
      <c r="K19" s="56">
        <f t="shared" si="7"/>
        <v>2035</v>
      </c>
      <c r="L19" s="9">
        <f>+'[15]Colector Janequeo I-IV'!$V$47</f>
        <v>4555.6888277358958</v>
      </c>
      <c r="M19" s="35">
        <f>+'[15]Colector Janequeo I-IV'!$U$47</f>
        <v>13.65234433562917</v>
      </c>
      <c r="N19" s="44">
        <f t="shared" si="2"/>
        <v>3.2822095696916711</v>
      </c>
      <c r="O19" s="34">
        <f t="shared" si="3"/>
        <v>44.80985522712794</v>
      </c>
      <c r="P19" s="34">
        <f t="shared" si="8"/>
        <v>2.7304688671258344</v>
      </c>
      <c r="Q19" s="34">
        <f t="shared" si="9"/>
        <v>47.540324094253776</v>
      </c>
      <c r="R19" s="35">
        <f>+'[15]Colector Janequeo I-IV'!$AA$47</f>
        <v>18.644917553725634</v>
      </c>
      <c r="S19" s="57">
        <f t="shared" si="10"/>
        <v>66.18524164797941</v>
      </c>
      <c r="U19" s="46">
        <f t="shared" si="11"/>
        <v>66.18524164797941</v>
      </c>
      <c r="V19" s="34">
        <f t="shared" si="12"/>
        <v>0</v>
      </c>
    </row>
    <row r="20" spans="2:22" x14ac:dyDescent="0.3">
      <c r="B20" s="2">
        <f t="shared" si="4"/>
        <v>2036</v>
      </c>
      <c r="C20" s="3">
        <f t="shared" si="5"/>
        <v>148.63873166436895</v>
      </c>
      <c r="D20" s="3">
        <f t="shared" si="0"/>
        <v>148.63873166436895</v>
      </c>
      <c r="E20" s="3">
        <f t="shared" si="6"/>
        <v>0.75701084413741249</v>
      </c>
      <c r="F20" s="3">
        <f t="shared" si="6"/>
        <v>500</v>
      </c>
      <c r="G20" s="3">
        <f>+'[16]Colector Janequeo I-IV'!$AB$47</f>
        <v>67.394240916812905</v>
      </c>
      <c r="H20" s="3">
        <f t="shared" si="1"/>
        <v>81.244490747556043</v>
      </c>
      <c r="K20" s="56">
        <f t="shared" si="7"/>
        <v>2036</v>
      </c>
      <c r="L20" s="9">
        <f>+'[16]Colector Janequeo I-IV'!$V$47</f>
        <v>4591.1727949078395</v>
      </c>
      <c r="M20" s="35">
        <f>+'[16]Colector Janequeo I-IV'!$U$47</f>
        <v>13.926043702571175</v>
      </c>
      <c r="N20" s="44">
        <f t="shared" si="2"/>
        <v>3.2791272477829851</v>
      </c>
      <c r="O20" s="34">
        <f t="shared" si="3"/>
        <v>45.66526935891779</v>
      </c>
      <c r="P20" s="34">
        <f t="shared" si="8"/>
        <v>2.7852087405142352</v>
      </c>
      <c r="Q20" s="34">
        <f t="shared" si="9"/>
        <v>48.450478099432026</v>
      </c>
      <c r="R20" s="35">
        <f>+'[16]Colector Janequeo I-IV'!$AA$47</f>
        <v>18.943762817380879</v>
      </c>
      <c r="S20" s="57">
        <f t="shared" si="10"/>
        <v>67.394240916812905</v>
      </c>
      <c r="U20" s="46">
        <f t="shared" si="11"/>
        <v>67.394240916812905</v>
      </c>
      <c r="V20" s="34">
        <f t="shared" si="12"/>
        <v>0</v>
      </c>
    </row>
    <row r="21" spans="2:22" ht="13.8" thickBot="1" x14ac:dyDescent="0.35">
      <c r="B21" s="2">
        <f t="shared" si="4"/>
        <v>2037</v>
      </c>
      <c r="C21" s="3">
        <f t="shared" si="5"/>
        <v>148.63873166436895</v>
      </c>
      <c r="D21" s="3">
        <f t="shared" si="0"/>
        <v>148.63873166436895</v>
      </c>
      <c r="E21" s="3">
        <f t="shared" si="6"/>
        <v>0.75701084413741249</v>
      </c>
      <c r="F21" s="3">
        <f t="shared" si="6"/>
        <v>500</v>
      </c>
      <c r="G21" s="3">
        <f>+'[17]Colector Janequeo I-IV'!$AB$47</f>
        <v>68.606597898003827</v>
      </c>
      <c r="H21" s="3">
        <f t="shared" si="1"/>
        <v>80.032133766365121</v>
      </c>
      <c r="I21" s="13">
        <f>+G21/G6-1</f>
        <v>0.34245233094881988</v>
      </c>
      <c r="K21" s="58">
        <f t="shared" si="7"/>
        <v>2037</v>
      </c>
      <c r="L21" s="59">
        <f>+'[17]Colector Janequeo I-IV'!$V$47</f>
        <v>4626.8707050343082</v>
      </c>
      <c r="M21" s="65">
        <f>+'[17]Colector Janequeo I-IV'!$U$47</f>
        <v>14.200620675979993</v>
      </c>
      <c r="N21" s="61">
        <f t="shared" si="2"/>
        <v>3.2760466788324343</v>
      </c>
      <c r="O21" s="60">
        <f t="shared" si="3"/>
        <v>46.521896202903456</v>
      </c>
      <c r="P21" s="60">
        <f t="shared" si="8"/>
        <v>2.8401241351959987</v>
      </c>
      <c r="Q21" s="60">
        <f t="shared" si="9"/>
        <v>49.362020338099455</v>
      </c>
      <c r="R21" s="65">
        <f>+'[17]Colector Janequeo I-IV'!$AA$47</f>
        <v>19.244577559904378</v>
      </c>
      <c r="S21" s="62">
        <f t="shared" si="10"/>
        <v>68.606597898003827</v>
      </c>
      <c r="U21" s="46">
        <f t="shared" si="11"/>
        <v>68.606597898003827</v>
      </c>
      <c r="V21" s="34">
        <f t="shared" si="12"/>
        <v>0</v>
      </c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53</v>
      </c>
      <c r="E2" s="6" t="s">
        <v>7</v>
      </c>
      <c r="F2" s="7">
        <f>+'[17]Colector Janequeo I-IV'!$N$32</f>
        <v>459.87999999999988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198</v>
      </c>
      <c r="O3" s="12" t="s">
        <v>52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Janequeo I'!B6</f>
        <v>2022</v>
      </c>
      <c r="C6" s="3">
        <f>+SUMPRODUCT('[17]Colector Janequeo I-IV'!$AL$21:$AL$32,'[17]Colector Janequeo I-IV'!$M$21:$M$32)/F2</f>
        <v>123.67236725044881</v>
      </c>
      <c r="D6" s="3">
        <f t="shared" ref="D6:D21" si="0">+C6</f>
        <v>123.67236725044881</v>
      </c>
      <c r="E6" s="3">
        <f>D6/(0.25*PI()*(F6/1000)^2)/1000</f>
        <v>1.0185833797316453</v>
      </c>
      <c r="F6" s="3">
        <f>+SUMPRODUCT('[17]Colector Janequeo I-IV'!$F$21:$F$32,'[17]Colector Janequeo I-IV'!$M$21:$M$32)/F2</f>
        <v>393.18152561537806</v>
      </c>
      <c r="G6" s="3">
        <f>+'[2]Colector Janequeo I-IV'!$AB$32</f>
        <v>12.278929513250096</v>
      </c>
      <c r="H6" s="3">
        <f t="shared" ref="H6:H21" si="1">+D6-G6</f>
        <v>111.39343773719872</v>
      </c>
      <c r="K6" s="56">
        <f>+B6</f>
        <v>2022</v>
      </c>
      <c r="L6" s="9">
        <f>+'Colec Janequeo I'!L6</f>
        <v>995.18422320437332</v>
      </c>
      <c r="M6" s="35">
        <f>+'Colec Janequeo I'!M6</f>
        <v>3.0664829360230565</v>
      </c>
      <c r="N6" s="44"/>
      <c r="O6" s="34">
        <f>+'[2]Colector Janequeo I-IV'!$Y$18</f>
        <v>11.665632926045484</v>
      </c>
      <c r="P6" s="34">
        <f>+M6*$P$4</f>
        <v>0.61329658720461133</v>
      </c>
      <c r="Q6" s="34">
        <f>+P6+O6</f>
        <v>12.278929513250096</v>
      </c>
      <c r="S6" s="57">
        <f>+R6+Q6</f>
        <v>12.278929513250096</v>
      </c>
      <c r="U6" s="46">
        <f>+G6</f>
        <v>12.278929513250096</v>
      </c>
      <c r="V6" s="34">
        <f>+U6-S6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123.67236725044881</v>
      </c>
      <c r="D7" s="3">
        <f t="shared" si="0"/>
        <v>123.67236725044881</v>
      </c>
      <c r="E7" s="3">
        <f t="shared" ref="E7:F21" si="4">+E6</f>
        <v>1.0185833797316453</v>
      </c>
      <c r="F7" s="3">
        <f t="shared" si="4"/>
        <v>393.18152561537806</v>
      </c>
      <c r="G7" s="3">
        <f>+'[3]Colector Janequeo I-IV'!$AB$32</f>
        <v>12.650088438115237</v>
      </c>
      <c r="H7" s="3">
        <f t="shared" si="1"/>
        <v>111.02227881233358</v>
      </c>
      <c r="K7" s="56">
        <f t="shared" ref="K7:K21" si="5">+B7</f>
        <v>2023</v>
      </c>
      <c r="L7" s="9">
        <f>+'Colec Janequeo I'!L7</f>
        <v>1003.2425692443769</v>
      </c>
      <c r="M7" s="35">
        <f>+'Colec Janequeo I'!M7</f>
        <v>3.1632392876443087</v>
      </c>
      <c r="N7" s="44">
        <f t="shared" ref="N7:N21" si="6">1+(14/(4+(SQRT(L7/1000))))</f>
        <v>3.7990931092462072</v>
      </c>
      <c r="O7" s="34">
        <f t="shared" ref="O7:O21" si="7">+N7*M7</f>
        <v>12.017440580586374</v>
      </c>
      <c r="P7" s="34">
        <f t="shared" ref="P7:P21" si="8">+M7*$P$4</f>
        <v>0.63264785752886177</v>
      </c>
      <c r="Q7" s="34">
        <f t="shared" ref="Q7:Q21" si="9">+P7+O7</f>
        <v>12.650088438115237</v>
      </c>
      <c r="S7" s="57">
        <f t="shared" ref="S7:S21" si="10">+R7+Q7</f>
        <v>12.650088438115237</v>
      </c>
      <c r="U7" s="46">
        <f t="shared" ref="U7:U21" si="11">+G7</f>
        <v>12.650088438115237</v>
      </c>
      <c r="V7" s="34">
        <f t="shared" ref="V7:V21" si="12">+U7-S7</f>
        <v>0</v>
      </c>
    </row>
    <row r="8" spans="1:22" x14ac:dyDescent="0.3">
      <c r="B8" s="2">
        <f t="shared" si="2"/>
        <v>2024</v>
      </c>
      <c r="C8" s="3">
        <f t="shared" si="3"/>
        <v>123.67236725044881</v>
      </c>
      <c r="D8" s="3">
        <f t="shared" si="0"/>
        <v>123.67236725044881</v>
      </c>
      <c r="E8" s="3">
        <f t="shared" si="4"/>
        <v>1.0185833797316453</v>
      </c>
      <c r="F8" s="3">
        <f t="shared" si="4"/>
        <v>393.18152561537806</v>
      </c>
      <c r="G8" s="3">
        <f>+'[4]Colector Janequeo I-IV'!$AB$32</f>
        <v>12.935351339763999</v>
      </c>
      <c r="H8" s="3">
        <f t="shared" si="1"/>
        <v>110.73701591068482</v>
      </c>
      <c r="K8" s="56">
        <f t="shared" si="5"/>
        <v>2024</v>
      </c>
      <c r="L8" s="9">
        <f>+'Colec Janequeo I'!L8</f>
        <v>1011.3379141183566</v>
      </c>
      <c r="M8" s="35">
        <f>+'Colec Janequeo I'!M8</f>
        <v>3.2363962815901597</v>
      </c>
      <c r="N8" s="44">
        <f t="shared" si="6"/>
        <v>3.7968379068240643</v>
      </c>
      <c r="O8" s="34">
        <f t="shared" si="7"/>
        <v>12.288072083445966</v>
      </c>
      <c r="P8" s="34">
        <f t="shared" si="8"/>
        <v>0.64727925631803196</v>
      </c>
      <c r="Q8" s="34">
        <f t="shared" si="9"/>
        <v>12.935351339763999</v>
      </c>
      <c r="S8" s="57">
        <f t="shared" si="10"/>
        <v>12.935351339763999</v>
      </c>
      <c r="U8" s="46">
        <f t="shared" si="11"/>
        <v>12.935351339763999</v>
      </c>
      <c r="V8" s="34">
        <f t="shared" si="12"/>
        <v>0</v>
      </c>
    </row>
    <row r="9" spans="1:22" x14ac:dyDescent="0.3">
      <c r="B9" s="2">
        <f t="shared" si="2"/>
        <v>2025</v>
      </c>
      <c r="C9" s="3">
        <f t="shared" si="3"/>
        <v>123.67236725044881</v>
      </c>
      <c r="D9" s="3">
        <f t="shared" si="0"/>
        <v>123.67236725044881</v>
      </c>
      <c r="E9" s="3">
        <f t="shared" si="4"/>
        <v>1.0185833797316453</v>
      </c>
      <c r="F9" s="3">
        <f t="shared" si="4"/>
        <v>393.18152561537806</v>
      </c>
      <c r="G9" s="3">
        <f>+'[5]Colector Janequeo I-IV'!$AB$32</f>
        <v>13.221611411440927</v>
      </c>
      <c r="H9" s="3">
        <f t="shared" si="1"/>
        <v>110.45075583900788</v>
      </c>
      <c r="K9" s="56">
        <f t="shared" si="5"/>
        <v>2025</v>
      </c>
      <c r="L9" s="9">
        <f>+'Colec Janequeo I'!L9</f>
        <v>1019.4628580595173</v>
      </c>
      <c r="M9" s="35">
        <f>+'Colec Janequeo I'!M9</f>
        <v>3.309881830303484</v>
      </c>
      <c r="N9" s="44">
        <f t="shared" si="6"/>
        <v>3.7945871451938311</v>
      </c>
      <c r="O9" s="34">
        <f t="shared" si="7"/>
        <v>12.559635045380229</v>
      </c>
      <c r="P9" s="34">
        <f t="shared" si="8"/>
        <v>0.66197636606069687</v>
      </c>
      <c r="Q9" s="34">
        <f t="shared" si="9"/>
        <v>13.221611411440927</v>
      </c>
      <c r="S9" s="57">
        <f t="shared" si="10"/>
        <v>13.221611411440927</v>
      </c>
      <c r="U9" s="46">
        <f t="shared" si="11"/>
        <v>13.221611411440927</v>
      </c>
      <c r="V9" s="34">
        <f t="shared" si="12"/>
        <v>0</v>
      </c>
    </row>
    <row r="10" spans="1:22" x14ac:dyDescent="0.3">
      <c r="B10" s="2">
        <f t="shared" si="2"/>
        <v>2026</v>
      </c>
      <c r="C10" s="3">
        <f t="shared" si="3"/>
        <v>123.67236725044881</v>
      </c>
      <c r="D10" s="3">
        <f t="shared" si="0"/>
        <v>123.67236725044881</v>
      </c>
      <c r="E10" s="3">
        <f t="shared" si="4"/>
        <v>1.0185833797316453</v>
      </c>
      <c r="F10" s="3">
        <f t="shared" si="4"/>
        <v>393.18152561537806</v>
      </c>
      <c r="G10" s="3">
        <f>+'[6]Colector Janequeo I-IV'!$AB$32</f>
        <v>13.510977593652449</v>
      </c>
      <c r="H10" s="3">
        <f t="shared" si="1"/>
        <v>110.16138965679636</v>
      </c>
      <c r="K10" s="56">
        <f t="shared" si="5"/>
        <v>2026</v>
      </c>
      <c r="L10" s="9">
        <f>+'Colec Janequeo I'!L10</f>
        <v>1027.6322006014493</v>
      </c>
      <c r="M10" s="35">
        <f>+'Colec Janequeo I'!M10</f>
        <v>3.384227955979759</v>
      </c>
      <c r="N10" s="44">
        <f t="shared" si="6"/>
        <v>3.7923367365898732</v>
      </c>
      <c r="O10" s="34">
        <f t="shared" si="7"/>
        <v>12.834132002456496</v>
      </c>
      <c r="P10" s="34">
        <f t="shared" si="8"/>
        <v>0.67684559119595189</v>
      </c>
      <c r="Q10" s="34">
        <f t="shared" si="9"/>
        <v>13.510977593652449</v>
      </c>
      <c r="S10" s="57">
        <f t="shared" si="10"/>
        <v>13.510977593652449</v>
      </c>
      <c r="U10" s="46">
        <f t="shared" si="11"/>
        <v>13.510977593652449</v>
      </c>
      <c r="V10" s="34">
        <f t="shared" si="12"/>
        <v>0</v>
      </c>
    </row>
    <row r="11" spans="1:22" x14ac:dyDescent="0.3">
      <c r="B11" s="2">
        <f t="shared" si="2"/>
        <v>2027</v>
      </c>
      <c r="C11" s="3">
        <f t="shared" si="3"/>
        <v>123.67236725044881</v>
      </c>
      <c r="D11" s="3">
        <f t="shared" si="0"/>
        <v>123.67236725044881</v>
      </c>
      <c r="E11" s="3">
        <f t="shared" si="4"/>
        <v>1.0185833797316453</v>
      </c>
      <c r="F11" s="3">
        <f t="shared" si="4"/>
        <v>393.18152561537806</v>
      </c>
      <c r="G11" s="3">
        <f>+'[7]Colector Janequeo I-IV'!$AB$32</f>
        <v>13.802918066356836</v>
      </c>
      <c r="H11" s="3">
        <f t="shared" si="1"/>
        <v>109.86944918409198</v>
      </c>
      <c r="K11" s="56">
        <f t="shared" si="5"/>
        <v>2027</v>
      </c>
      <c r="L11" s="9">
        <f>+'Colec Janequeo I'!L11</f>
        <v>1035.8385419773574</v>
      </c>
      <c r="M11" s="35">
        <f>+'Colec Janequeo I'!M11</f>
        <v>3.4593010174051897</v>
      </c>
      <c r="N11" s="44">
        <f t="shared" si="6"/>
        <v>3.7900887482495986</v>
      </c>
      <c r="O11" s="34">
        <f t="shared" si="7"/>
        <v>13.111057862875798</v>
      </c>
      <c r="P11" s="34">
        <f t="shared" si="8"/>
        <v>0.69186020348103794</v>
      </c>
      <c r="Q11" s="34">
        <f t="shared" si="9"/>
        <v>13.802918066356836</v>
      </c>
      <c r="S11" s="57">
        <f t="shared" si="10"/>
        <v>13.802918066356836</v>
      </c>
      <c r="U11" s="46">
        <f t="shared" si="11"/>
        <v>13.802918066356836</v>
      </c>
      <c r="V11" s="34">
        <f t="shared" si="12"/>
        <v>0</v>
      </c>
    </row>
    <row r="12" spans="1:22" x14ac:dyDescent="0.3">
      <c r="B12" s="2">
        <f t="shared" si="2"/>
        <v>2028</v>
      </c>
      <c r="C12" s="3">
        <f t="shared" si="3"/>
        <v>123.67236725044881</v>
      </c>
      <c r="D12" s="3">
        <f t="shared" si="0"/>
        <v>123.67236725044881</v>
      </c>
      <c r="E12" s="3">
        <f t="shared" si="4"/>
        <v>1.0185833797316453</v>
      </c>
      <c r="F12" s="3">
        <f t="shared" si="4"/>
        <v>393.18152561537806</v>
      </c>
      <c r="G12" s="3">
        <f>+'[8]Colector Janequeo I-IV'!$AB$32</f>
        <v>14.098532842412272</v>
      </c>
      <c r="H12" s="3">
        <f t="shared" si="1"/>
        <v>109.57383440803655</v>
      </c>
      <c r="K12" s="56">
        <f t="shared" si="5"/>
        <v>2028</v>
      </c>
      <c r="L12" s="9">
        <f>+'Colec Janequeo I'!L12</f>
        <v>1044.089281954037</v>
      </c>
      <c r="M12" s="35">
        <f>+'Colec Janequeo I'!M12</f>
        <v>3.5353797208615978</v>
      </c>
      <c r="N12" s="44">
        <f t="shared" si="6"/>
        <v>3.7878411813077766</v>
      </c>
      <c r="O12" s="34">
        <f t="shared" si="7"/>
        <v>13.391456898239952</v>
      </c>
      <c r="P12" s="34">
        <f t="shared" si="8"/>
        <v>0.70707594417231956</v>
      </c>
      <c r="Q12" s="34">
        <f t="shared" si="9"/>
        <v>14.098532842412272</v>
      </c>
      <c r="S12" s="57">
        <f t="shared" si="10"/>
        <v>14.098532842412272</v>
      </c>
      <c r="U12" s="46">
        <f t="shared" si="11"/>
        <v>14.098532842412272</v>
      </c>
      <c r="V12" s="34">
        <f t="shared" si="12"/>
        <v>0</v>
      </c>
    </row>
    <row r="13" spans="1:22" x14ac:dyDescent="0.3">
      <c r="B13" s="2">
        <f t="shared" si="2"/>
        <v>2029</v>
      </c>
      <c r="C13" s="3">
        <f t="shared" si="3"/>
        <v>123.67236725044881</v>
      </c>
      <c r="D13" s="3">
        <f t="shared" si="0"/>
        <v>123.67236725044881</v>
      </c>
      <c r="E13" s="3">
        <f t="shared" si="4"/>
        <v>1.0185833797316453</v>
      </c>
      <c r="F13" s="3">
        <f t="shared" si="4"/>
        <v>393.18152561537806</v>
      </c>
      <c r="G13" s="3">
        <f>+'[9]Colector Janequeo I-IV'!$AB$32</f>
        <v>14.39504372605076</v>
      </c>
      <c r="H13" s="3">
        <f t="shared" si="1"/>
        <v>109.27732352439806</v>
      </c>
      <c r="K13" s="56">
        <f t="shared" si="5"/>
        <v>2029</v>
      </c>
      <c r="L13" s="9">
        <f>+'Colec Janequeo I'!L13</f>
        <v>1052.3696209978973</v>
      </c>
      <c r="M13" s="35">
        <f>+'Colec Janequeo I'!M13</f>
        <v>3.6117650208719816</v>
      </c>
      <c r="N13" s="44">
        <f t="shared" si="6"/>
        <v>3.7855980781870997</v>
      </c>
      <c r="O13" s="34">
        <f t="shared" si="7"/>
        <v>13.672690721876364</v>
      </c>
      <c r="P13" s="34">
        <f t="shared" si="8"/>
        <v>0.72235300417439641</v>
      </c>
      <c r="Q13" s="34">
        <f t="shared" si="9"/>
        <v>14.39504372605076</v>
      </c>
      <c r="S13" s="57">
        <f t="shared" si="10"/>
        <v>14.39504372605076</v>
      </c>
      <c r="U13" s="46">
        <f t="shared" si="11"/>
        <v>14.39504372605076</v>
      </c>
      <c r="V13" s="34">
        <f t="shared" si="12"/>
        <v>0</v>
      </c>
    </row>
    <row r="14" spans="1:22" x14ac:dyDescent="0.3">
      <c r="B14" s="2">
        <f t="shared" si="2"/>
        <v>2030</v>
      </c>
      <c r="C14" s="3">
        <f t="shared" si="3"/>
        <v>123.67236725044881</v>
      </c>
      <c r="D14" s="3">
        <f t="shared" si="0"/>
        <v>123.67236725044881</v>
      </c>
      <c r="E14" s="3">
        <f t="shared" si="4"/>
        <v>1.0185833797316453</v>
      </c>
      <c r="F14" s="3">
        <f t="shared" si="4"/>
        <v>393.18152561537806</v>
      </c>
      <c r="G14" s="3">
        <f>+'[10]Colector Janequeo I-IV'!$AB$32</f>
        <v>14.694677429469984</v>
      </c>
      <c r="H14" s="3">
        <f t="shared" si="1"/>
        <v>108.97768982097884</v>
      </c>
      <c r="K14" s="56">
        <f t="shared" si="5"/>
        <v>2030</v>
      </c>
      <c r="L14" s="9">
        <f>+'Colec Janequeo I'!L14</f>
        <v>1060.6943586425291</v>
      </c>
      <c r="M14" s="35">
        <f>+'Colec Janequeo I'!M14</f>
        <v>3.6890198853472729</v>
      </c>
      <c r="N14" s="44">
        <f t="shared" si="6"/>
        <v>3.7833554402449834</v>
      </c>
      <c r="O14" s="34">
        <f t="shared" si="7"/>
        <v>13.956873452400529</v>
      </c>
      <c r="P14" s="34">
        <f t="shared" si="8"/>
        <v>0.73780397706945466</v>
      </c>
      <c r="Q14" s="34">
        <f t="shared" si="9"/>
        <v>14.694677429469984</v>
      </c>
      <c r="S14" s="57">
        <f t="shared" si="10"/>
        <v>14.694677429469984</v>
      </c>
      <c r="U14" s="46">
        <f t="shared" si="11"/>
        <v>14.694677429469984</v>
      </c>
      <c r="V14" s="34">
        <f t="shared" si="12"/>
        <v>0</v>
      </c>
    </row>
    <row r="15" spans="1:22" x14ac:dyDescent="0.3">
      <c r="B15" s="2">
        <f t="shared" si="2"/>
        <v>2031</v>
      </c>
      <c r="C15" s="3">
        <f t="shared" si="3"/>
        <v>123.67236725044881</v>
      </c>
      <c r="D15" s="3">
        <f t="shared" si="0"/>
        <v>123.67236725044881</v>
      </c>
      <c r="E15" s="3">
        <f t="shared" si="4"/>
        <v>1.0185833797316453</v>
      </c>
      <c r="F15" s="3">
        <f t="shared" si="4"/>
        <v>393.18152561537806</v>
      </c>
      <c r="G15" s="3">
        <f>+'[11]Colector Janequeo I-IV'!$AB$32</f>
        <v>14.996860552229297</v>
      </c>
      <c r="H15" s="3">
        <f t="shared" si="1"/>
        <v>108.67550669821952</v>
      </c>
      <c r="K15" s="56">
        <f t="shared" si="5"/>
        <v>2031</v>
      </c>
      <c r="L15" s="9">
        <f>+'Colec Janequeo I'!L15</f>
        <v>1069.0634948879324</v>
      </c>
      <c r="M15" s="35">
        <f>+'Colec Janequeo I'!M15</f>
        <v>3.7670016855717194</v>
      </c>
      <c r="N15" s="44">
        <f t="shared" si="6"/>
        <v>3.7811133107983244</v>
      </c>
      <c r="O15" s="34">
        <f t="shared" si="7"/>
        <v>14.243460215114952</v>
      </c>
      <c r="P15" s="34">
        <f t="shared" si="8"/>
        <v>0.75340033711434395</v>
      </c>
      <c r="Q15" s="34">
        <f t="shared" si="9"/>
        <v>14.996860552229297</v>
      </c>
      <c r="S15" s="57">
        <f t="shared" si="10"/>
        <v>14.996860552229297</v>
      </c>
      <c r="U15" s="46">
        <f t="shared" si="11"/>
        <v>14.996860552229297</v>
      </c>
      <c r="V15" s="34">
        <f t="shared" si="12"/>
        <v>0</v>
      </c>
    </row>
    <row r="16" spans="1:22" x14ac:dyDescent="0.3">
      <c r="B16" s="2">
        <f t="shared" si="2"/>
        <v>2032</v>
      </c>
      <c r="C16" s="3">
        <f t="shared" si="3"/>
        <v>123.67236725044881</v>
      </c>
      <c r="D16" s="3">
        <f t="shared" si="0"/>
        <v>123.67236725044881</v>
      </c>
      <c r="E16" s="3">
        <f t="shared" si="4"/>
        <v>1.0185833797316453</v>
      </c>
      <c r="F16" s="3">
        <f t="shared" si="4"/>
        <v>393.18152561537806</v>
      </c>
      <c r="G16" s="3">
        <f>+'[12]Colector Janequeo I-IV'!$AB$32</f>
        <v>15.302749032542595</v>
      </c>
      <c r="H16" s="3">
        <f t="shared" si="1"/>
        <v>108.36961821790622</v>
      </c>
      <c r="K16" s="56">
        <f t="shared" si="5"/>
        <v>2032</v>
      </c>
      <c r="L16" s="9">
        <f>+'Colec Janequeo I'!L16</f>
        <v>1077.477029734107</v>
      </c>
      <c r="M16" s="35">
        <f>+'Colec Janequeo I'!M16</f>
        <v>3.8460020985386847</v>
      </c>
      <c r="N16" s="44">
        <f t="shared" si="6"/>
        <v>3.7788717323781444</v>
      </c>
      <c r="O16" s="34">
        <f t="shared" si="7"/>
        <v>14.533548612834858</v>
      </c>
      <c r="P16" s="34">
        <f t="shared" si="8"/>
        <v>0.769200419707737</v>
      </c>
      <c r="Q16" s="34">
        <f t="shared" si="9"/>
        <v>15.302749032542595</v>
      </c>
      <c r="S16" s="57">
        <f t="shared" si="10"/>
        <v>15.302749032542595</v>
      </c>
      <c r="U16" s="46">
        <f t="shared" si="11"/>
        <v>15.302749032542595</v>
      </c>
      <c r="V16" s="34">
        <f t="shared" si="12"/>
        <v>0</v>
      </c>
    </row>
    <row r="17" spans="2:22" x14ac:dyDescent="0.3">
      <c r="B17" s="2">
        <f t="shared" si="2"/>
        <v>2033</v>
      </c>
      <c r="C17" s="3">
        <f t="shared" si="3"/>
        <v>123.67236725044881</v>
      </c>
      <c r="D17" s="3">
        <f t="shared" si="0"/>
        <v>123.67236725044881</v>
      </c>
      <c r="E17" s="3">
        <f t="shared" si="4"/>
        <v>1.0185833797316453</v>
      </c>
      <c r="F17" s="3">
        <f t="shared" si="4"/>
        <v>393.18152561537806</v>
      </c>
      <c r="G17" s="3">
        <f>+'[13]Colector Janequeo I-IV'!$AB$32</f>
        <v>15.609409895113336</v>
      </c>
      <c r="H17" s="3">
        <f t="shared" si="1"/>
        <v>108.06295735533548</v>
      </c>
      <c r="K17" s="56">
        <f t="shared" si="5"/>
        <v>2033</v>
      </c>
      <c r="L17" s="9">
        <f>+'Colec Janequeo I'!L17</f>
        <v>1085.9423629478481</v>
      </c>
      <c r="M17" s="35">
        <f>+'Colec Janequeo I'!M17</f>
        <v>3.9252871498461261</v>
      </c>
      <c r="N17" s="44">
        <f t="shared" si="6"/>
        <v>3.776628791533184</v>
      </c>
      <c r="O17" s="34">
        <f t="shared" si="7"/>
        <v>14.824352465144111</v>
      </c>
      <c r="P17" s="34">
        <f t="shared" si="8"/>
        <v>0.78505742996922523</v>
      </c>
      <c r="Q17" s="34">
        <f t="shared" si="9"/>
        <v>15.609409895113336</v>
      </c>
      <c r="S17" s="57">
        <f t="shared" si="10"/>
        <v>15.609409895113336</v>
      </c>
      <c r="U17" s="46">
        <f t="shared" si="11"/>
        <v>15.609409895113336</v>
      </c>
      <c r="V17" s="34">
        <f t="shared" si="12"/>
        <v>0</v>
      </c>
    </row>
    <row r="18" spans="2:22" x14ac:dyDescent="0.3">
      <c r="B18" s="2">
        <f t="shared" si="2"/>
        <v>2034</v>
      </c>
      <c r="C18" s="3">
        <f t="shared" si="3"/>
        <v>123.67236725044881</v>
      </c>
      <c r="D18" s="3">
        <f t="shared" si="0"/>
        <v>123.67236725044881</v>
      </c>
      <c r="E18" s="3">
        <f t="shared" si="4"/>
        <v>1.0185833797316453</v>
      </c>
      <c r="F18" s="3">
        <f t="shared" si="4"/>
        <v>393.18152561537806</v>
      </c>
      <c r="G18" s="3">
        <f>+'[14]Colector Janequeo I-IV'!$AB$32</f>
        <v>15.919225000408561</v>
      </c>
      <c r="H18" s="3">
        <f t="shared" si="1"/>
        <v>107.75314225004026</v>
      </c>
      <c r="K18" s="56">
        <f t="shared" si="5"/>
        <v>2034</v>
      </c>
      <c r="L18" s="9">
        <f>+'Colec Janequeo I'!L18</f>
        <v>1094.4372952287702</v>
      </c>
      <c r="M18" s="35">
        <f>+'Colec Janequeo I'!M18</f>
        <v>4.0054507531204324</v>
      </c>
      <c r="N18" s="44">
        <f t="shared" si="6"/>
        <v>3.7743903948904491</v>
      </c>
      <c r="O18" s="34">
        <f t="shared" si="7"/>
        <v>15.118134849784475</v>
      </c>
      <c r="P18" s="34">
        <f t="shared" si="8"/>
        <v>0.80109015062408651</v>
      </c>
      <c r="Q18" s="34">
        <f t="shared" si="9"/>
        <v>15.919225000408561</v>
      </c>
      <c r="S18" s="57">
        <f t="shared" si="10"/>
        <v>15.919225000408561</v>
      </c>
      <c r="U18" s="46">
        <f t="shared" si="11"/>
        <v>15.919225000408561</v>
      </c>
      <c r="V18" s="34">
        <f t="shared" si="12"/>
        <v>0</v>
      </c>
    </row>
    <row r="19" spans="2:22" x14ac:dyDescent="0.3">
      <c r="B19" s="2">
        <f t="shared" si="2"/>
        <v>2035</v>
      </c>
      <c r="C19" s="3">
        <f t="shared" si="3"/>
        <v>123.67236725044881</v>
      </c>
      <c r="D19" s="3">
        <f t="shared" si="0"/>
        <v>123.67236725044881</v>
      </c>
      <c r="E19" s="3">
        <f t="shared" si="4"/>
        <v>1.0185833797316453</v>
      </c>
      <c r="F19" s="3">
        <f t="shared" si="4"/>
        <v>393.18152561537806</v>
      </c>
      <c r="G19" s="3">
        <f>+'[15]Colector Janequeo I-IV'!$AB$32</f>
        <v>16.231555591690164</v>
      </c>
      <c r="H19" s="3">
        <f t="shared" si="1"/>
        <v>107.44081165875865</v>
      </c>
      <c r="K19" s="56">
        <f t="shared" si="5"/>
        <v>2035</v>
      </c>
      <c r="L19" s="9">
        <f>+'Colec Janequeo I'!L19</f>
        <v>1102.9914256440541</v>
      </c>
      <c r="M19" s="35">
        <f>+'Colec Janequeo I'!M19</f>
        <v>4.0863412921438949</v>
      </c>
      <c r="N19" s="44">
        <f t="shared" si="6"/>
        <v>3.7721487832883129</v>
      </c>
      <c r="O19" s="34">
        <f t="shared" si="7"/>
        <v>15.414287333261386</v>
      </c>
      <c r="P19" s="34">
        <f t="shared" si="8"/>
        <v>0.81726825842877904</v>
      </c>
      <c r="Q19" s="34">
        <f t="shared" si="9"/>
        <v>16.231555591690164</v>
      </c>
      <c r="S19" s="57">
        <f t="shared" si="10"/>
        <v>16.231555591690164</v>
      </c>
      <c r="U19" s="46">
        <f t="shared" si="11"/>
        <v>16.231555591690164</v>
      </c>
      <c r="V19" s="34">
        <f t="shared" si="12"/>
        <v>0</v>
      </c>
    </row>
    <row r="20" spans="2:22" x14ac:dyDescent="0.3">
      <c r="B20" s="2">
        <f t="shared" si="2"/>
        <v>2036</v>
      </c>
      <c r="C20" s="3">
        <f t="shared" si="3"/>
        <v>123.67236725044881</v>
      </c>
      <c r="D20" s="3">
        <f t="shared" si="0"/>
        <v>123.67236725044881</v>
      </c>
      <c r="E20" s="3">
        <f t="shared" si="4"/>
        <v>1.0185833797316453</v>
      </c>
      <c r="F20" s="3">
        <f t="shared" si="4"/>
        <v>393.18152561537806</v>
      </c>
      <c r="G20" s="3">
        <f>+'[16]Colector Janequeo I-IV'!$AB$32</f>
        <v>16.547629902148106</v>
      </c>
      <c r="H20" s="3">
        <f t="shared" si="1"/>
        <v>107.12473734830071</v>
      </c>
      <c r="K20" s="56">
        <f t="shared" si="5"/>
        <v>2036</v>
      </c>
      <c r="L20" s="9">
        <f>+'Colec Janequeo I'!L20</f>
        <v>1111.582554893314</v>
      </c>
      <c r="M20" s="35">
        <f>+'Colec Janequeo I'!M20</f>
        <v>4.1682634146214195</v>
      </c>
      <c r="N20" s="44">
        <f t="shared" si="6"/>
        <v>3.7699098296193063</v>
      </c>
      <c r="O20" s="34">
        <f t="shared" si="7"/>
        <v>15.713977219223823</v>
      </c>
      <c r="P20" s="34">
        <f t="shared" si="8"/>
        <v>0.83365268292428396</v>
      </c>
      <c r="Q20" s="34">
        <f t="shared" si="9"/>
        <v>16.547629902148106</v>
      </c>
      <c r="S20" s="57">
        <f t="shared" si="10"/>
        <v>16.547629902148106</v>
      </c>
      <c r="U20" s="46">
        <f t="shared" si="11"/>
        <v>16.547629902148106</v>
      </c>
      <c r="V20" s="34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123.67236725044881</v>
      </c>
      <c r="D21" s="3">
        <f t="shared" si="0"/>
        <v>123.67236725044881</v>
      </c>
      <c r="E21" s="3">
        <f t="shared" si="4"/>
        <v>1.0185833797316453</v>
      </c>
      <c r="F21" s="3">
        <f t="shared" si="4"/>
        <v>393.18152561537806</v>
      </c>
      <c r="G21" s="3">
        <f>+'[17]Colector Janequeo I-IV'!$AB$32</f>
        <v>16.864374669060538</v>
      </c>
      <c r="H21" s="3">
        <f t="shared" si="1"/>
        <v>106.80799258138828</v>
      </c>
      <c r="I21" s="13">
        <f>+G21/G6-1</f>
        <v>0.37344013994561376</v>
      </c>
      <c r="K21" s="58">
        <f t="shared" si="5"/>
        <v>2037</v>
      </c>
      <c r="L21" s="59">
        <f>+'Colec Janequeo I'!L21</f>
        <v>1120.2254825101406</v>
      </c>
      <c r="M21" s="65">
        <f>+'Colec Janequeo I'!M21</f>
        <v>4.2504482172259195</v>
      </c>
      <c r="N21" s="61">
        <f t="shared" si="6"/>
        <v>3.7676697155640624</v>
      </c>
      <c r="O21" s="60">
        <f t="shared" si="7"/>
        <v>16.014285025615354</v>
      </c>
      <c r="P21" s="60">
        <f t="shared" si="8"/>
        <v>0.8500896434451839</v>
      </c>
      <c r="Q21" s="60">
        <f t="shared" si="9"/>
        <v>16.864374669060538</v>
      </c>
      <c r="R21" s="63"/>
      <c r="S21" s="62">
        <f t="shared" si="10"/>
        <v>16.864374669060538</v>
      </c>
      <c r="U21" s="46">
        <f t="shared" si="11"/>
        <v>16.864374669060538</v>
      </c>
      <c r="V21" s="34">
        <f t="shared" si="12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V23"/>
  <sheetViews>
    <sheetView showGridLines="0" topLeftCell="C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52</v>
      </c>
      <c r="E2" s="6" t="s">
        <v>7</v>
      </c>
      <c r="F2" s="7">
        <f>+'[17]Colector Janequeo I-IV'!$N$18</f>
        <v>95.26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197</v>
      </c>
      <c r="O3" s="12" t="s">
        <v>196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Los Pelues II'!B6</f>
        <v>2022</v>
      </c>
      <c r="C6" s="3">
        <f>+'[17]Colector Janequeo I-IV'!$AL$17</f>
        <v>63.964952431141086</v>
      </c>
      <c r="D6" s="3">
        <f t="shared" ref="D6:D21" si="0">+C6</f>
        <v>63.964952431141086</v>
      </c>
      <c r="E6" s="3">
        <f>D6/(0.25*PI()*(F6/1000)^2)/1000</f>
        <v>0.92578450254187161</v>
      </c>
      <c r="F6" s="3">
        <f>+'[17]Colector Janequeo I-IV'!$F$17</f>
        <v>296.60000000000002</v>
      </c>
      <c r="G6" s="3">
        <f>+'[2]Colector Janequeo I-IV'!$AB$18</f>
        <v>12.278929513250096</v>
      </c>
      <c r="H6" s="3">
        <f t="shared" ref="H6:H21" si="1">+D6-G6</f>
        <v>51.686022917890988</v>
      </c>
      <c r="K6" s="56">
        <f>+B6</f>
        <v>2022</v>
      </c>
      <c r="L6" s="9">
        <f>+'[2]Colector Janequeo I-IV'!$V$18</f>
        <v>995.18422320437332</v>
      </c>
      <c r="M6" s="35">
        <f>+'[2]Colector Janequeo I-IV'!$U$18</f>
        <v>3.0664829360230565</v>
      </c>
      <c r="N6" s="44"/>
      <c r="O6" s="34">
        <f>+'[2]Colector Janequeo I-IV'!$Y$18</f>
        <v>11.665632926045484</v>
      </c>
      <c r="P6" s="34">
        <f>+M6*$P$4</f>
        <v>0.61329658720461133</v>
      </c>
      <c r="Q6" s="34">
        <f>+P6+O6</f>
        <v>12.278929513250096</v>
      </c>
      <c r="S6" s="57">
        <f>+R6+Q6</f>
        <v>12.278929513250096</v>
      </c>
      <c r="U6" s="46">
        <f>+G6</f>
        <v>12.278929513250096</v>
      </c>
      <c r="V6" s="34">
        <f>+U6-S6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63.964952431141086</v>
      </c>
      <c r="D7" s="3">
        <f t="shared" si="0"/>
        <v>63.964952431141086</v>
      </c>
      <c r="E7" s="3">
        <f t="shared" ref="E7:F21" si="4">+E6</f>
        <v>0.92578450254187161</v>
      </c>
      <c r="F7" s="3">
        <f t="shared" si="4"/>
        <v>296.60000000000002</v>
      </c>
      <c r="G7" s="3">
        <f>+'[3]Colector Janequeo I-IV'!$AB$18</f>
        <v>12.650088438115237</v>
      </c>
      <c r="H7" s="3">
        <f t="shared" si="1"/>
        <v>51.314863993025853</v>
      </c>
      <c r="K7" s="56">
        <f t="shared" ref="K7:K21" si="5">+B7</f>
        <v>2023</v>
      </c>
      <c r="L7" s="9">
        <f>+'[3]Colector Janequeo I-IV'!$V$18</f>
        <v>1003.2425692443769</v>
      </c>
      <c r="M7" s="35">
        <f>+'[3]Colector Janequeo I-IV'!$U$18</f>
        <v>3.1632392876443087</v>
      </c>
      <c r="N7" s="44">
        <f t="shared" ref="N7:N21" si="6">1+(14/(4+(SQRT(L7/1000))))</f>
        <v>3.7990931092462072</v>
      </c>
      <c r="O7" s="34">
        <f t="shared" ref="O7:O21" si="7">+N7*M7</f>
        <v>12.017440580586374</v>
      </c>
      <c r="P7" s="34">
        <f t="shared" ref="P7:P21" si="8">+M7*$P$4</f>
        <v>0.63264785752886177</v>
      </c>
      <c r="Q7" s="34">
        <f t="shared" ref="Q7:Q21" si="9">+P7+O7</f>
        <v>12.650088438115237</v>
      </c>
      <c r="S7" s="57">
        <f t="shared" ref="S7:S21" si="10">+R7+Q7</f>
        <v>12.650088438115237</v>
      </c>
      <c r="U7" s="46">
        <f t="shared" ref="U7:U21" si="11">+G7</f>
        <v>12.650088438115237</v>
      </c>
      <c r="V7" s="34">
        <f t="shared" ref="V7:V21" si="12">+U7-S7</f>
        <v>0</v>
      </c>
    </row>
    <row r="8" spans="1:22" x14ac:dyDescent="0.3">
      <c r="B8" s="2">
        <f t="shared" si="2"/>
        <v>2024</v>
      </c>
      <c r="C8" s="3">
        <f t="shared" si="3"/>
        <v>63.964952431141086</v>
      </c>
      <c r="D8" s="3">
        <f t="shared" si="0"/>
        <v>63.964952431141086</v>
      </c>
      <c r="E8" s="3">
        <f t="shared" si="4"/>
        <v>0.92578450254187161</v>
      </c>
      <c r="F8" s="3">
        <f t="shared" si="4"/>
        <v>296.60000000000002</v>
      </c>
      <c r="G8" s="3">
        <f>+'[4]Colector Janequeo I-IV'!$AB$18</f>
        <v>12.935351339763999</v>
      </c>
      <c r="H8" s="3">
        <f t="shared" si="1"/>
        <v>51.029601091377089</v>
      </c>
      <c r="K8" s="56">
        <f t="shared" si="5"/>
        <v>2024</v>
      </c>
      <c r="L8" s="9">
        <f>+'[4]Colector Janequeo I-IV'!$V$18</f>
        <v>1011.3379141183566</v>
      </c>
      <c r="M8" s="35">
        <f>+'[4]Colector Janequeo I-IV'!$U$18</f>
        <v>3.2363962815901597</v>
      </c>
      <c r="N8" s="44">
        <f t="shared" si="6"/>
        <v>3.7968379068240643</v>
      </c>
      <c r="O8" s="34">
        <f t="shared" si="7"/>
        <v>12.288072083445966</v>
      </c>
      <c r="P8" s="34">
        <f t="shared" si="8"/>
        <v>0.64727925631803196</v>
      </c>
      <c r="Q8" s="34">
        <f t="shared" si="9"/>
        <v>12.935351339763999</v>
      </c>
      <c r="S8" s="57">
        <f t="shared" si="10"/>
        <v>12.935351339763999</v>
      </c>
      <c r="U8" s="46">
        <f t="shared" si="11"/>
        <v>12.935351339763999</v>
      </c>
      <c r="V8" s="34">
        <f t="shared" si="12"/>
        <v>0</v>
      </c>
    </row>
    <row r="9" spans="1:22" x14ac:dyDescent="0.3">
      <c r="B9" s="2">
        <f t="shared" si="2"/>
        <v>2025</v>
      </c>
      <c r="C9" s="3">
        <f t="shared" si="3"/>
        <v>63.964952431141086</v>
      </c>
      <c r="D9" s="3">
        <f t="shared" si="0"/>
        <v>63.964952431141086</v>
      </c>
      <c r="E9" s="3">
        <f t="shared" si="4"/>
        <v>0.92578450254187161</v>
      </c>
      <c r="F9" s="3">
        <f t="shared" si="4"/>
        <v>296.60000000000002</v>
      </c>
      <c r="G9" s="3">
        <f>+'[5]Colector Janequeo I-IV'!$AB$18</f>
        <v>13.221611411440927</v>
      </c>
      <c r="H9" s="3">
        <f t="shared" si="1"/>
        <v>50.743341019700161</v>
      </c>
      <c r="K9" s="56">
        <f t="shared" si="5"/>
        <v>2025</v>
      </c>
      <c r="L9" s="9">
        <f>+'[5]Colector Janequeo I-IV'!$V$18</f>
        <v>1019.4628580595173</v>
      </c>
      <c r="M9" s="35">
        <f>+'[5]Colector Janequeo I-IV'!$U$18</f>
        <v>3.309881830303484</v>
      </c>
      <c r="N9" s="44">
        <f t="shared" si="6"/>
        <v>3.7945871451938311</v>
      </c>
      <c r="O9" s="34">
        <f t="shared" si="7"/>
        <v>12.559635045380229</v>
      </c>
      <c r="P9" s="34">
        <f t="shared" si="8"/>
        <v>0.66197636606069687</v>
      </c>
      <c r="Q9" s="34">
        <f t="shared" si="9"/>
        <v>13.221611411440927</v>
      </c>
      <c r="S9" s="57">
        <f t="shared" si="10"/>
        <v>13.221611411440927</v>
      </c>
      <c r="U9" s="46">
        <f t="shared" si="11"/>
        <v>13.221611411440927</v>
      </c>
      <c r="V9" s="34">
        <f t="shared" si="12"/>
        <v>0</v>
      </c>
    </row>
    <row r="10" spans="1:22" x14ac:dyDescent="0.3">
      <c r="B10" s="2">
        <f t="shared" si="2"/>
        <v>2026</v>
      </c>
      <c r="C10" s="3">
        <f t="shared" si="3"/>
        <v>63.964952431141086</v>
      </c>
      <c r="D10" s="3">
        <f t="shared" si="0"/>
        <v>63.964952431141086</v>
      </c>
      <c r="E10" s="3">
        <f t="shared" si="4"/>
        <v>0.92578450254187161</v>
      </c>
      <c r="F10" s="3">
        <f t="shared" si="4"/>
        <v>296.60000000000002</v>
      </c>
      <c r="G10" s="3">
        <f>+'[6]Colector Janequeo I-IV'!$AB$18</f>
        <v>13.510977593652449</v>
      </c>
      <c r="H10" s="3">
        <f t="shared" si="1"/>
        <v>50.453974837488637</v>
      </c>
      <c r="K10" s="56">
        <f t="shared" si="5"/>
        <v>2026</v>
      </c>
      <c r="L10" s="9">
        <f>+'[6]Colector Janequeo I-IV'!$V$18</f>
        <v>1027.6322006014493</v>
      </c>
      <c r="M10" s="35">
        <f>+'[6]Colector Janequeo I-IV'!$U$18</f>
        <v>3.384227955979759</v>
      </c>
      <c r="N10" s="44">
        <f t="shared" si="6"/>
        <v>3.7923367365898732</v>
      </c>
      <c r="O10" s="34">
        <f t="shared" si="7"/>
        <v>12.834132002456496</v>
      </c>
      <c r="P10" s="34">
        <f t="shared" si="8"/>
        <v>0.67684559119595189</v>
      </c>
      <c r="Q10" s="34">
        <f t="shared" si="9"/>
        <v>13.510977593652449</v>
      </c>
      <c r="S10" s="57">
        <f t="shared" si="10"/>
        <v>13.510977593652449</v>
      </c>
      <c r="U10" s="46">
        <f t="shared" si="11"/>
        <v>13.510977593652449</v>
      </c>
      <c r="V10" s="34">
        <f t="shared" si="12"/>
        <v>0</v>
      </c>
    </row>
    <row r="11" spans="1:22" x14ac:dyDescent="0.3">
      <c r="B11" s="2">
        <f t="shared" si="2"/>
        <v>2027</v>
      </c>
      <c r="C11" s="3">
        <f t="shared" si="3"/>
        <v>63.964952431141086</v>
      </c>
      <c r="D11" s="3">
        <f t="shared" si="0"/>
        <v>63.964952431141086</v>
      </c>
      <c r="E11" s="3">
        <f t="shared" si="4"/>
        <v>0.92578450254187161</v>
      </c>
      <c r="F11" s="3">
        <f t="shared" si="4"/>
        <v>296.60000000000002</v>
      </c>
      <c r="G11" s="3">
        <f>+'[7]Colector Janequeo I-IV'!$AB$18</f>
        <v>13.802918066356836</v>
      </c>
      <c r="H11" s="3">
        <f t="shared" si="1"/>
        <v>50.162034364784247</v>
      </c>
      <c r="K11" s="56">
        <f t="shared" si="5"/>
        <v>2027</v>
      </c>
      <c r="L11" s="9">
        <f>+'[7]Colector Janequeo I-IV'!$V$18</f>
        <v>1035.8385419773574</v>
      </c>
      <c r="M11" s="35">
        <f>+'[7]Colector Janequeo I-IV'!$U$18</f>
        <v>3.4593010174051897</v>
      </c>
      <c r="N11" s="44">
        <f t="shared" si="6"/>
        <v>3.7900887482495986</v>
      </c>
      <c r="O11" s="34">
        <f t="shared" si="7"/>
        <v>13.111057862875798</v>
      </c>
      <c r="P11" s="34">
        <f t="shared" si="8"/>
        <v>0.69186020348103794</v>
      </c>
      <c r="Q11" s="34">
        <f t="shared" si="9"/>
        <v>13.802918066356836</v>
      </c>
      <c r="S11" s="57">
        <f t="shared" si="10"/>
        <v>13.802918066356836</v>
      </c>
      <c r="U11" s="46">
        <f t="shared" si="11"/>
        <v>13.802918066356836</v>
      </c>
      <c r="V11" s="34">
        <f t="shared" si="12"/>
        <v>0</v>
      </c>
    </row>
    <row r="12" spans="1:22" x14ac:dyDescent="0.3">
      <c r="B12" s="2">
        <f t="shared" si="2"/>
        <v>2028</v>
      </c>
      <c r="C12" s="3">
        <f t="shared" si="3"/>
        <v>63.964952431141086</v>
      </c>
      <c r="D12" s="3">
        <f t="shared" si="0"/>
        <v>63.964952431141086</v>
      </c>
      <c r="E12" s="3">
        <f t="shared" si="4"/>
        <v>0.92578450254187161</v>
      </c>
      <c r="F12" s="3">
        <f t="shared" si="4"/>
        <v>296.60000000000002</v>
      </c>
      <c r="G12" s="3">
        <f>+'[8]Colector Janequeo I-IV'!$AB$18</f>
        <v>14.098532842412272</v>
      </c>
      <c r="H12" s="3">
        <f t="shared" si="1"/>
        <v>49.866419588728817</v>
      </c>
      <c r="K12" s="56">
        <f t="shared" si="5"/>
        <v>2028</v>
      </c>
      <c r="L12" s="9">
        <f>+'[8]Colector Janequeo I-IV'!$V$18</f>
        <v>1044.089281954037</v>
      </c>
      <c r="M12" s="35">
        <f>+'[8]Colector Janequeo I-IV'!$U$18</f>
        <v>3.5353797208615978</v>
      </c>
      <c r="N12" s="44">
        <f t="shared" si="6"/>
        <v>3.7878411813077766</v>
      </c>
      <c r="O12" s="34">
        <f t="shared" si="7"/>
        <v>13.391456898239952</v>
      </c>
      <c r="P12" s="34">
        <f t="shared" si="8"/>
        <v>0.70707594417231956</v>
      </c>
      <c r="Q12" s="34">
        <f t="shared" si="9"/>
        <v>14.098532842412272</v>
      </c>
      <c r="S12" s="57">
        <f t="shared" si="10"/>
        <v>14.098532842412272</v>
      </c>
      <c r="U12" s="46">
        <f t="shared" si="11"/>
        <v>14.098532842412272</v>
      </c>
      <c r="V12" s="34">
        <f t="shared" si="12"/>
        <v>0</v>
      </c>
    </row>
    <row r="13" spans="1:22" x14ac:dyDescent="0.3">
      <c r="B13" s="2">
        <f t="shared" si="2"/>
        <v>2029</v>
      </c>
      <c r="C13" s="3">
        <f t="shared" si="3"/>
        <v>63.964952431141086</v>
      </c>
      <c r="D13" s="3">
        <f t="shared" si="0"/>
        <v>63.964952431141086</v>
      </c>
      <c r="E13" s="3">
        <f t="shared" si="4"/>
        <v>0.92578450254187161</v>
      </c>
      <c r="F13" s="3">
        <f t="shared" si="4"/>
        <v>296.60000000000002</v>
      </c>
      <c r="G13" s="3">
        <f>+'[9]Colector Janequeo I-IV'!$AB$18</f>
        <v>14.39504372605076</v>
      </c>
      <c r="H13" s="3">
        <f t="shared" si="1"/>
        <v>49.569908705090327</v>
      </c>
      <c r="K13" s="56">
        <f t="shared" si="5"/>
        <v>2029</v>
      </c>
      <c r="L13" s="9">
        <f>+'[9]Colector Janequeo I-IV'!$V$18</f>
        <v>1052.3696209978973</v>
      </c>
      <c r="M13" s="35">
        <f>+'[9]Colector Janequeo I-IV'!$U$18</f>
        <v>3.6117650208719816</v>
      </c>
      <c r="N13" s="44">
        <f t="shared" si="6"/>
        <v>3.7855980781870997</v>
      </c>
      <c r="O13" s="34">
        <f t="shared" si="7"/>
        <v>13.672690721876364</v>
      </c>
      <c r="P13" s="34">
        <f t="shared" si="8"/>
        <v>0.72235300417439641</v>
      </c>
      <c r="Q13" s="34">
        <f t="shared" si="9"/>
        <v>14.39504372605076</v>
      </c>
      <c r="S13" s="57">
        <f t="shared" si="10"/>
        <v>14.39504372605076</v>
      </c>
      <c r="U13" s="46">
        <f t="shared" si="11"/>
        <v>14.39504372605076</v>
      </c>
      <c r="V13" s="34">
        <f t="shared" si="12"/>
        <v>0</v>
      </c>
    </row>
    <row r="14" spans="1:22" x14ac:dyDescent="0.3">
      <c r="B14" s="2">
        <f t="shared" si="2"/>
        <v>2030</v>
      </c>
      <c r="C14" s="3">
        <f t="shared" si="3"/>
        <v>63.964952431141086</v>
      </c>
      <c r="D14" s="3">
        <f t="shared" si="0"/>
        <v>63.964952431141086</v>
      </c>
      <c r="E14" s="3">
        <f t="shared" si="4"/>
        <v>0.92578450254187161</v>
      </c>
      <c r="F14" s="3">
        <f t="shared" si="4"/>
        <v>296.60000000000002</v>
      </c>
      <c r="G14" s="3">
        <f>+'[10]Colector Janequeo I-IV'!$AB$18</f>
        <v>14.694677429469984</v>
      </c>
      <c r="H14" s="3">
        <f t="shared" si="1"/>
        <v>49.270275001671102</v>
      </c>
      <c r="K14" s="56">
        <f t="shared" si="5"/>
        <v>2030</v>
      </c>
      <c r="L14" s="9">
        <f>+'[10]Colector Janequeo I-IV'!$V$18</f>
        <v>1060.6943586425291</v>
      </c>
      <c r="M14" s="35">
        <f>+'[10]Colector Janequeo I-IV'!$U$18</f>
        <v>3.6890198853472729</v>
      </c>
      <c r="N14" s="44">
        <f t="shared" si="6"/>
        <v>3.7833554402449834</v>
      </c>
      <c r="O14" s="34">
        <f t="shared" si="7"/>
        <v>13.956873452400529</v>
      </c>
      <c r="P14" s="34">
        <f t="shared" si="8"/>
        <v>0.73780397706945466</v>
      </c>
      <c r="Q14" s="34">
        <f t="shared" si="9"/>
        <v>14.694677429469984</v>
      </c>
      <c r="S14" s="57">
        <f t="shared" si="10"/>
        <v>14.694677429469984</v>
      </c>
      <c r="U14" s="46">
        <f t="shared" si="11"/>
        <v>14.694677429469984</v>
      </c>
      <c r="V14" s="34">
        <f t="shared" si="12"/>
        <v>0</v>
      </c>
    </row>
    <row r="15" spans="1:22" x14ac:dyDescent="0.3">
      <c r="B15" s="2">
        <f t="shared" si="2"/>
        <v>2031</v>
      </c>
      <c r="C15" s="3">
        <f t="shared" si="3"/>
        <v>63.964952431141086</v>
      </c>
      <c r="D15" s="3">
        <f t="shared" si="0"/>
        <v>63.964952431141086</v>
      </c>
      <c r="E15" s="3">
        <f t="shared" si="4"/>
        <v>0.92578450254187161</v>
      </c>
      <c r="F15" s="3">
        <f t="shared" si="4"/>
        <v>296.60000000000002</v>
      </c>
      <c r="G15" s="3">
        <f>+'[11]Colector Janequeo I-IV'!$AB$18</f>
        <v>14.996860552229297</v>
      </c>
      <c r="H15" s="3">
        <f t="shared" si="1"/>
        <v>48.968091878911792</v>
      </c>
      <c r="K15" s="56">
        <f t="shared" si="5"/>
        <v>2031</v>
      </c>
      <c r="L15" s="9">
        <f>+'[11]Colector Janequeo I-IV'!$V$18</f>
        <v>1069.0634948879324</v>
      </c>
      <c r="M15" s="35">
        <f>+'[11]Colector Janequeo I-IV'!$U$18</f>
        <v>3.7670016855717194</v>
      </c>
      <c r="N15" s="44">
        <f t="shared" si="6"/>
        <v>3.7811133107983244</v>
      </c>
      <c r="O15" s="34">
        <f t="shared" si="7"/>
        <v>14.243460215114952</v>
      </c>
      <c r="P15" s="34">
        <f t="shared" si="8"/>
        <v>0.75340033711434395</v>
      </c>
      <c r="Q15" s="34">
        <f t="shared" si="9"/>
        <v>14.996860552229297</v>
      </c>
      <c r="S15" s="57">
        <f t="shared" si="10"/>
        <v>14.996860552229297</v>
      </c>
      <c r="U15" s="46">
        <f t="shared" si="11"/>
        <v>14.996860552229297</v>
      </c>
      <c r="V15" s="34">
        <f t="shared" si="12"/>
        <v>0</v>
      </c>
    </row>
    <row r="16" spans="1:22" x14ac:dyDescent="0.3">
      <c r="B16" s="2">
        <f t="shared" si="2"/>
        <v>2032</v>
      </c>
      <c r="C16" s="3">
        <f t="shared" si="3"/>
        <v>63.964952431141086</v>
      </c>
      <c r="D16" s="3">
        <f t="shared" si="0"/>
        <v>63.964952431141086</v>
      </c>
      <c r="E16" s="3">
        <f t="shared" si="4"/>
        <v>0.92578450254187161</v>
      </c>
      <c r="F16" s="3">
        <f t="shared" si="4"/>
        <v>296.60000000000002</v>
      </c>
      <c r="G16" s="3">
        <f>+'[12]Colector Janequeo I-IV'!$AB$18</f>
        <v>15.302749032542595</v>
      </c>
      <c r="H16" s="3">
        <f t="shared" si="1"/>
        <v>48.662203398598493</v>
      </c>
      <c r="K16" s="56">
        <f t="shared" si="5"/>
        <v>2032</v>
      </c>
      <c r="L16" s="9">
        <f>+'[12]Colector Janequeo I-IV'!$V$18</f>
        <v>1077.477029734107</v>
      </c>
      <c r="M16" s="35">
        <f>+'[12]Colector Janequeo I-IV'!$U$18</f>
        <v>3.8460020985386847</v>
      </c>
      <c r="N16" s="44">
        <f t="shared" si="6"/>
        <v>3.7788717323781444</v>
      </c>
      <c r="O16" s="34">
        <f t="shared" si="7"/>
        <v>14.533548612834858</v>
      </c>
      <c r="P16" s="34">
        <f t="shared" si="8"/>
        <v>0.769200419707737</v>
      </c>
      <c r="Q16" s="34">
        <f t="shared" si="9"/>
        <v>15.302749032542595</v>
      </c>
      <c r="S16" s="57">
        <f t="shared" si="10"/>
        <v>15.302749032542595</v>
      </c>
      <c r="U16" s="46">
        <f t="shared" si="11"/>
        <v>15.302749032542595</v>
      </c>
      <c r="V16" s="34">
        <f t="shared" si="12"/>
        <v>0</v>
      </c>
    </row>
    <row r="17" spans="2:22" x14ac:dyDescent="0.3">
      <c r="B17" s="2">
        <f t="shared" si="2"/>
        <v>2033</v>
      </c>
      <c r="C17" s="3">
        <f t="shared" si="3"/>
        <v>63.964952431141086</v>
      </c>
      <c r="D17" s="3">
        <f t="shared" si="0"/>
        <v>63.964952431141086</v>
      </c>
      <c r="E17" s="3">
        <f t="shared" si="4"/>
        <v>0.92578450254187161</v>
      </c>
      <c r="F17" s="3">
        <f t="shared" si="4"/>
        <v>296.60000000000002</v>
      </c>
      <c r="G17" s="3">
        <f>+'[13]Colector Janequeo I-IV'!$AB$18</f>
        <v>15.609409895113336</v>
      </c>
      <c r="H17" s="3">
        <f t="shared" si="1"/>
        <v>48.355542536027748</v>
      </c>
      <c r="K17" s="56">
        <f t="shared" si="5"/>
        <v>2033</v>
      </c>
      <c r="L17" s="9">
        <f>+'[13]Colector Janequeo I-IV'!$V$18</f>
        <v>1085.9423629478481</v>
      </c>
      <c r="M17" s="35">
        <f>+'[13]Colector Janequeo I-IV'!$U$18</f>
        <v>3.9252871498461261</v>
      </c>
      <c r="N17" s="44">
        <f t="shared" si="6"/>
        <v>3.776628791533184</v>
      </c>
      <c r="O17" s="34">
        <f t="shared" si="7"/>
        <v>14.824352465144111</v>
      </c>
      <c r="P17" s="34">
        <f t="shared" si="8"/>
        <v>0.78505742996922523</v>
      </c>
      <c r="Q17" s="34">
        <f t="shared" si="9"/>
        <v>15.609409895113336</v>
      </c>
      <c r="S17" s="57">
        <f t="shared" si="10"/>
        <v>15.609409895113336</v>
      </c>
      <c r="U17" s="46">
        <f t="shared" si="11"/>
        <v>15.609409895113336</v>
      </c>
      <c r="V17" s="34">
        <f t="shared" si="12"/>
        <v>0</v>
      </c>
    </row>
    <row r="18" spans="2:22" x14ac:dyDescent="0.3">
      <c r="B18" s="2">
        <f t="shared" si="2"/>
        <v>2034</v>
      </c>
      <c r="C18" s="3">
        <f t="shared" si="3"/>
        <v>63.964952431141086</v>
      </c>
      <c r="D18" s="3">
        <f t="shared" si="0"/>
        <v>63.964952431141086</v>
      </c>
      <c r="E18" s="3">
        <f t="shared" si="4"/>
        <v>0.92578450254187161</v>
      </c>
      <c r="F18" s="3">
        <f t="shared" si="4"/>
        <v>296.60000000000002</v>
      </c>
      <c r="G18" s="3">
        <f>+'[14]Colector Janequeo I-IV'!$AB$18</f>
        <v>15.919225000408561</v>
      </c>
      <c r="H18" s="3">
        <f t="shared" si="1"/>
        <v>48.045727430732526</v>
      </c>
      <c r="K18" s="56">
        <f t="shared" si="5"/>
        <v>2034</v>
      </c>
      <c r="L18" s="9">
        <f>+'[14]Colector Janequeo I-IV'!$V$18</f>
        <v>1094.4372952287702</v>
      </c>
      <c r="M18" s="35">
        <f>+'[14]Colector Janequeo I-IV'!$U$18</f>
        <v>4.0054507531204324</v>
      </c>
      <c r="N18" s="44">
        <f t="shared" si="6"/>
        <v>3.7743903948904491</v>
      </c>
      <c r="O18" s="34">
        <f t="shared" si="7"/>
        <v>15.118134849784475</v>
      </c>
      <c r="P18" s="34">
        <f t="shared" si="8"/>
        <v>0.80109015062408651</v>
      </c>
      <c r="Q18" s="34">
        <f t="shared" si="9"/>
        <v>15.919225000408561</v>
      </c>
      <c r="S18" s="57">
        <f t="shared" si="10"/>
        <v>15.919225000408561</v>
      </c>
      <c r="U18" s="46">
        <f t="shared" si="11"/>
        <v>15.919225000408561</v>
      </c>
      <c r="V18" s="34">
        <f t="shared" si="12"/>
        <v>0</v>
      </c>
    </row>
    <row r="19" spans="2:22" x14ac:dyDescent="0.3">
      <c r="B19" s="2">
        <f t="shared" si="2"/>
        <v>2035</v>
      </c>
      <c r="C19" s="3">
        <f t="shared" si="3"/>
        <v>63.964952431141086</v>
      </c>
      <c r="D19" s="3">
        <f t="shared" si="0"/>
        <v>63.964952431141086</v>
      </c>
      <c r="E19" s="3">
        <f t="shared" si="4"/>
        <v>0.92578450254187161</v>
      </c>
      <c r="F19" s="3">
        <f t="shared" si="4"/>
        <v>296.60000000000002</v>
      </c>
      <c r="G19" s="3">
        <f>+'[15]Colector Janequeo I-IV'!$AB$18</f>
        <v>16.231555591690164</v>
      </c>
      <c r="H19" s="3">
        <f t="shared" si="1"/>
        <v>47.733396839450918</v>
      </c>
      <c r="K19" s="56">
        <f t="shared" si="5"/>
        <v>2035</v>
      </c>
      <c r="L19" s="9">
        <f>+'[15]Colector Janequeo I-IV'!$V$18</f>
        <v>1102.9914256440541</v>
      </c>
      <c r="M19" s="35">
        <f>+'[15]Colector Janequeo I-IV'!$U$18</f>
        <v>4.0863412921438949</v>
      </c>
      <c r="N19" s="44">
        <f t="shared" si="6"/>
        <v>3.7721487832883129</v>
      </c>
      <c r="O19" s="34">
        <f t="shared" si="7"/>
        <v>15.414287333261386</v>
      </c>
      <c r="P19" s="34">
        <f t="shared" si="8"/>
        <v>0.81726825842877904</v>
      </c>
      <c r="Q19" s="34">
        <f t="shared" si="9"/>
        <v>16.231555591690164</v>
      </c>
      <c r="S19" s="57">
        <f t="shared" si="10"/>
        <v>16.231555591690164</v>
      </c>
      <c r="U19" s="46">
        <f t="shared" si="11"/>
        <v>16.231555591690164</v>
      </c>
      <c r="V19" s="34">
        <f t="shared" si="12"/>
        <v>0</v>
      </c>
    </row>
    <row r="20" spans="2:22" x14ac:dyDescent="0.3">
      <c r="B20" s="2">
        <f t="shared" si="2"/>
        <v>2036</v>
      </c>
      <c r="C20" s="3">
        <f t="shared" si="3"/>
        <v>63.964952431141086</v>
      </c>
      <c r="D20" s="3">
        <f t="shared" si="0"/>
        <v>63.964952431141086</v>
      </c>
      <c r="E20" s="3">
        <f t="shared" si="4"/>
        <v>0.92578450254187161</v>
      </c>
      <c r="F20" s="3">
        <f t="shared" si="4"/>
        <v>296.60000000000002</v>
      </c>
      <c r="G20" s="3">
        <f>+'[16]Colector Janequeo I-IV'!$AB$18</f>
        <v>16.547629902148106</v>
      </c>
      <c r="H20" s="3">
        <f t="shared" si="1"/>
        <v>47.417322528992983</v>
      </c>
      <c r="K20" s="56">
        <f t="shared" si="5"/>
        <v>2036</v>
      </c>
      <c r="L20" s="9">
        <f>+'[16]Colector Janequeo I-IV'!$V$18</f>
        <v>1111.582554893314</v>
      </c>
      <c r="M20" s="35">
        <f>+'[16]Colector Janequeo I-IV'!$U$18</f>
        <v>4.1682634146214195</v>
      </c>
      <c r="N20" s="44">
        <f t="shared" si="6"/>
        <v>3.7699098296193063</v>
      </c>
      <c r="O20" s="34">
        <f t="shared" si="7"/>
        <v>15.713977219223823</v>
      </c>
      <c r="P20" s="34">
        <f t="shared" si="8"/>
        <v>0.83365268292428396</v>
      </c>
      <c r="Q20" s="34">
        <f t="shared" si="9"/>
        <v>16.547629902148106</v>
      </c>
      <c r="S20" s="57">
        <f t="shared" si="10"/>
        <v>16.547629902148106</v>
      </c>
      <c r="U20" s="46">
        <f t="shared" si="11"/>
        <v>16.547629902148106</v>
      </c>
      <c r="V20" s="34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63.964952431141086</v>
      </c>
      <c r="D21" s="3">
        <f t="shared" si="0"/>
        <v>63.964952431141086</v>
      </c>
      <c r="E21" s="3">
        <f t="shared" si="4"/>
        <v>0.92578450254187161</v>
      </c>
      <c r="F21" s="3">
        <f t="shared" si="4"/>
        <v>296.60000000000002</v>
      </c>
      <c r="G21" s="3">
        <f>+'[17]Colector Janequeo I-IV'!$AB$18</f>
        <v>16.864374669060538</v>
      </c>
      <c r="H21" s="3">
        <f t="shared" si="1"/>
        <v>47.100577762080547</v>
      </c>
      <c r="I21" s="13">
        <f>+G21/G6-1</f>
        <v>0.37344013994561376</v>
      </c>
      <c r="K21" s="58">
        <f t="shared" si="5"/>
        <v>2037</v>
      </c>
      <c r="L21" s="59">
        <f>+'[17]Colector Janequeo I-IV'!$V$18</f>
        <v>1120.2254825101406</v>
      </c>
      <c r="M21" s="65">
        <f>+'[17]Colector Janequeo I-IV'!$U$18</f>
        <v>4.2504482172259195</v>
      </c>
      <c r="N21" s="61">
        <f t="shared" si="6"/>
        <v>3.7676697155640624</v>
      </c>
      <c r="O21" s="60">
        <f t="shared" si="7"/>
        <v>16.014285025615354</v>
      </c>
      <c r="P21" s="60">
        <f t="shared" si="8"/>
        <v>0.8500896434451839</v>
      </c>
      <c r="Q21" s="60">
        <f t="shared" si="9"/>
        <v>16.864374669060538</v>
      </c>
      <c r="R21" s="63"/>
      <c r="S21" s="62">
        <f t="shared" si="10"/>
        <v>16.864374669060538</v>
      </c>
      <c r="U21" s="46">
        <f t="shared" si="11"/>
        <v>16.864374669060538</v>
      </c>
      <c r="V21" s="34">
        <f t="shared" si="12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51</v>
      </c>
      <c r="E2" s="6" t="s">
        <v>7</v>
      </c>
      <c r="F2" s="7">
        <f>+SUM('[17]Colector Los Pelues'!$M$19:$M$23)</f>
        <v>201.61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194</v>
      </c>
      <c r="O3" s="12" t="s">
        <v>195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Los Pelues I'!B6</f>
        <v>2022</v>
      </c>
      <c r="C6" s="3">
        <f>+SUMPRODUCT('[17]Colector Los Pelues'!$AL$19:$AL$23,'[17]Colector Los Pelues'!$M$19:$M$23)/F2</f>
        <v>154.42962521726449</v>
      </c>
      <c r="D6" s="3">
        <f t="shared" ref="D6:D21" si="0">+C6</f>
        <v>154.42962521726449</v>
      </c>
      <c r="E6" s="3">
        <f>D6/(0.25*PI()*(F6/1000)^2)/1000</f>
        <v>1.6965948922732486</v>
      </c>
      <c r="F6" s="3">
        <f>+SUMPRODUCT('[17]Colector Los Pelues'!$F$19:$F$23,'[17]Colector Los Pelues'!$M$19:$M$23)/F2</f>
        <v>340.43271663111949</v>
      </c>
      <c r="G6" s="3">
        <f>+'[2]Colector Los Pelues'!$AB$23</f>
        <v>42.387958089860177</v>
      </c>
      <c r="H6" s="3">
        <f t="shared" ref="H6:H21" si="1">+D6-G6</f>
        <v>112.04166712740431</v>
      </c>
      <c r="K6" s="56">
        <f>+B6</f>
        <v>2022</v>
      </c>
      <c r="L6" s="9">
        <f>+'[2]Colector Los Pelues'!$V$23</f>
        <v>6788.3626861607409</v>
      </c>
      <c r="M6" s="35">
        <f>+'[2]Colector Los Pelues'!$U$23</f>
        <v>10.969008578396696</v>
      </c>
      <c r="N6" s="44">
        <f>1+(14/(4+(SQRT(L6/1000))))</f>
        <v>3.1194623914798969</v>
      </c>
      <c r="O6" s="34">
        <f>+N6*M6</f>
        <v>34.217409732128864</v>
      </c>
      <c r="P6" s="34">
        <f>+M6*$P$4</f>
        <v>2.1938017156793395</v>
      </c>
      <c r="Q6" s="34">
        <f>+P6+O6</f>
        <v>36.411211447808206</v>
      </c>
      <c r="R6" s="34">
        <f>+'[2]Colector Los Pelues'!$AA$23</f>
        <v>5.9767466420519675</v>
      </c>
      <c r="S6" s="57">
        <f>+R6+Q6</f>
        <v>42.387958089860177</v>
      </c>
      <c r="U6" s="46">
        <f>+G6</f>
        <v>42.387958089860177</v>
      </c>
      <c r="V6" s="34">
        <f>+U6-S6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154.42962521726449</v>
      </c>
      <c r="D7" s="3">
        <f t="shared" si="0"/>
        <v>154.42962521726449</v>
      </c>
      <c r="E7" s="3">
        <f t="shared" ref="E7:F21" si="4">+E6</f>
        <v>1.6965948922732486</v>
      </c>
      <c r="F7" s="3">
        <f t="shared" si="4"/>
        <v>340.43271663111949</v>
      </c>
      <c r="G7" s="3">
        <f>+'[3]Colector Los Pelues'!$AB$23</f>
        <v>43.683762049792293</v>
      </c>
      <c r="H7" s="3">
        <f t="shared" si="1"/>
        <v>110.74586316747219</v>
      </c>
      <c r="K7" s="56">
        <f t="shared" ref="K7:K21" si="5">+B7</f>
        <v>2023</v>
      </c>
      <c r="L7" s="9">
        <f>+'[3]Colector Los Pelues'!$V$23</f>
        <v>6843.3303738457353</v>
      </c>
      <c r="M7" s="35">
        <f>+'[3]Colector Los Pelues'!$U$23</f>
        <v>11.31511233083574</v>
      </c>
      <c r="N7" s="44">
        <f t="shared" ref="N7:N21" si="6">1+(14/(4+(SQRT(L7/1000))))</f>
        <v>3.1160899047629194</v>
      </c>
      <c r="O7" s="34">
        <f t="shared" ref="O7:O21" si="7">+N7*M7</f>
        <v>35.258907305375679</v>
      </c>
      <c r="P7" s="34">
        <f t="shared" ref="P7:P21" si="8">+M7*$P$4</f>
        <v>2.2630224661671483</v>
      </c>
      <c r="Q7" s="34">
        <f t="shared" ref="Q7:Q21" si="9">+P7+O7</f>
        <v>37.52192977154283</v>
      </c>
      <c r="R7" s="34">
        <f>+'[3]Colector Los Pelues'!$AA$23</f>
        <v>6.1618322782494657</v>
      </c>
      <c r="S7" s="57">
        <f t="shared" ref="S7:S21" si="10">+R7+Q7</f>
        <v>43.683762049792293</v>
      </c>
      <c r="U7" s="46">
        <f t="shared" ref="U7:U21" si="11">+G7</f>
        <v>43.683762049792293</v>
      </c>
      <c r="V7" s="34">
        <f t="shared" ref="V7:V21" si="12">+U7-S7</f>
        <v>0</v>
      </c>
    </row>
    <row r="8" spans="1:22" x14ac:dyDescent="0.3">
      <c r="B8" s="2">
        <f t="shared" si="2"/>
        <v>2024</v>
      </c>
      <c r="C8" s="3">
        <f t="shared" si="3"/>
        <v>154.42962521726449</v>
      </c>
      <c r="D8" s="3">
        <f t="shared" si="0"/>
        <v>154.42962521726449</v>
      </c>
      <c r="E8" s="3">
        <f t="shared" si="4"/>
        <v>1.6965948922732486</v>
      </c>
      <c r="F8" s="3">
        <f t="shared" si="4"/>
        <v>340.43271663111949</v>
      </c>
      <c r="G8" s="3">
        <f>+'[4]Colector Los Pelues'!$AB$23</f>
        <v>44.651531770220082</v>
      </c>
      <c r="H8" s="3">
        <f t="shared" si="1"/>
        <v>109.7780934470444</v>
      </c>
      <c r="K8" s="56">
        <f t="shared" si="5"/>
        <v>2024</v>
      </c>
      <c r="L8" s="9">
        <f>+'[4]Colector Los Pelues'!$V$23</f>
        <v>6898.5504384255182</v>
      </c>
      <c r="M8" s="35">
        <f>+'[4]Colector Los Pelues'!$U$23</f>
        <v>11.576799648490432</v>
      </c>
      <c r="N8" s="44">
        <f t="shared" si="6"/>
        <v>3.1127262686074624</v>
      </c>
      <c r="O8" s="34">
        <f t="shared" si="7"/>
        <v>36.035408372261806</v>
      </c>
      <c r="P8" s="34">
        <f t="shared" si="8"/>
        <v>2.3153599296980865</v>
      </c>
      <c r="Q8" s="34">
        <f t="shared" si="9"/>
        <v>38.350768301959889</v>
      </c>
      <c r="R8" s="34">
        <f>+'[4]Colector Los Pelues'!$AA$23</f>
        <v>6.3007634682601914</v>
      </c>
      <c r="S8" s="57">
        <f t="shared" si="10"/>
        <v>44.651531770220082</v>
      </c>
      <c r="U8" s="46">
        <f t="shared" si="11"/>
        <v>44.651531770220082</v>
      </c>
      <c r="V8" s="34">
        <f t="shared" si="12"/>
        <v>0</v>
      </c>
    </row>
    <row r="9" spans="1:22" x14ac:dyDescent="0.3">
      <c r="B9" s="2">
        <f t="shared" si="2"/>
        <v>2025</v>
      </c>
      <c r="C9" s="3">
        <f t="shared" si="3"/>
        <v>154.42962521726449</v>
      </c>
      <c r="D9" s="3">
        <f t="shared" si="0"/>
        <v>154.42962521726449</v>
      </c>
      <c r="E9" s="3">
        <f t="shared" si="4"/>
        <v>1.6965948922732486</v>
      </c>
      <c r="F9" s="3">
        <f t="shared" si="4"/>
        <v>340.43271663111949</v>
      </c>
      <c r="G9" s="3">
        <f>+'[5]Colector Los Pelues'!$AB$23</f>
        <v>45.622055982285801</v>
      </c>
      <c r="H9" s="3">
        <f t="shared" si="1"/>
        <v>108.80756923497869</v>
      </c>
      <c r="K9" s="56">
        <f t="shared" si="5"/>
        <v>2025</v>
      </c>
      <c r="L9" s="9">
        <f>+'[5]Colector Los Pelues'!$V$23</f>
        <v>6953.9724045211324</v>
      </c>
      <c r="M9" s="35">
        <f>+'[5]Colector Los Pelues'!$U$23</f>
        <v>11.839662227882457</v>
      </c>
      <c r="N9" s="44">
        <f t="shared" si="6"/>
        <v>3.1093745137084339</v>
      </c>
      <c r="O9" s="34">
        <f t="shared" si="7"/>
        <v>36.813943982294127</v>
      </c>
      <c r="P9" s="34">
        <f t="shared" si="8"/>
        <v>2.3679324455764914</v>
      </c>
      <c r="Q9" s="34">
        <f t="shared" si="9"/>
        <v>39.18187642787062</v>
      </c>
      <c r="R9" s="34">
        <f>+'[5]Colector Los Pelues'!$AA$23</f>
        <v>6.4401795544151801</v>
      </c>
      <c r="S9" s="57">
        <f t="shared" si="10"/>
        <v>45.622055982285801</v>
      </c>
      <c r="U9" s="46">
        <f t="shared" si="11"/>
        <v>45.622055982285801</v>
      </c>
      <c r="V9" s="34">
        <f t="shared" si="12"/>
        <v>0</v>
      </c>
    </row>
    <row r="10" spans="1:22" x14ac:dyDescent="0.3">
      <c r="B10" s="2">
        <f t="shared" si="2"/>
        <v>2026</v>
      </c>
      <c r="C10" s="3">
        <f t="shared" si="3"/>
        <v>154.42962521726449</v>
      </c>
      <c r="D10" s="3">
        <f t="shared" si="0"/>
        <v>154.42962521726449</v>
      </c>
      <c r="E10" s="3">
        <f t="shared" si="4"/>
        <v>1.6965948922732486</v>
      </c>
      <c r="F10" s="3">
        <f t="shared" si="4"/>
        <v>340.43271663111949</v>
      </c>
      <c r="G10" s="3">
        <f>+'[6]Colector Los Pelues'!$AB$23</f>
        <v>46.602577048207202</v>
      </c>
      <c r="H10" s="3">
        <f t="shared" si="1"/>
        <v>107.82704816905729</v>
      </c>
      <c r="K10" s="56">
        <f t="shared" si="5"/>
        <v>2026</v>
      </c>
      <c r="L10" s="9">
        <f>+'[6]Colector Los Pelues'!$V$23</f>
        <v>7009.6972228904924</v>
      </c>
      <c r="M10" s="35">
        <f>+'[6]Colector Los Pelues'!$U$23</f>
        <v>12.105603146950882</v>
      </c>
      <c r="N10" s="44">
        <f t="shared" si="6"/>
        <v>3.1060285235951621</v>
      </c>
      <c r="O10" s="34">
        <f t="shared" si="7"/>
        <v>37.600348669752798</v>
      </c>
      <c r="P10" s="34">
        <f t="shared" si="8"/>
        <v>2.4211206293901766</v>
      </c>
      <c r="Q10" s="34">
        <f t="shared" si="9"/>
        <v>40.021469299142971</v>
      </c>
      <c r="R10" s="34">
        <f>+'[6]Colector Los Pelues'!$AA$23</f>
        <v>6.5811077490642296</v>
      </c>
      <c r="S10" s="57">
        <f t="shared" si="10"/>
        <v>46.602577048207202</v>
      </c>
      <c r="U10" s="46">
        <f t="shared" si="11"/>
        <v>46.602577048207202</v>
      </c>
      <c r="V10" s="34">
        <f t="shared" si="12"/>
        <v>0</v>
      </c>
    </row>
    <row r="11" spans="1:22" x14ac:dyDescent="0.3">
      <c r="B11" s="2">
        <f t="shared" si="2"/>
        <v>2027</v>
      </c>
      <c r="C11" s="3">
        <f t="shared" si="3"/>
        <v>154.42962521726449</v>
      </c>
      <c r="D11" s="3">
        <f t="shared" si="0"/>
        <v>154.42962521726449</v>
      </c>
      <c r="E11" s="3">
        <f t="shared" si="4"/>
        <v>1.6965948922732486</v>
      </c>
      <c r="F11" s="3">
        <f t="shared" si="4"/>
        <v>340.43271663111949</v>
      </c>
      <c r="G11" s="3">
        <f>+'[7]Colector Los Pelues'!$AB$23</f>
        <v>47.591268562253752</v>
      </c>
      <c r="H11" s="3">
        <f t="shared" si="1"/>
        <v>106.83835665501073</v>
      </c>
      <c r="K11" s="56">
        <f t="shared" si="5"/>
        <v>2027</v>
      </c>
      <c r="L11" s="9">
        <f>+'[7]Colector Los Pelues'!$V$23</f>
        <v>7065.674418154641</v>
      </c>
      <c r="M11" s="35">
        <f>+'[7]Colector Los Pelues'!$U$23</f>
        <v>12.37414436239623</v>
      </c>
      <c r="N11" s="44">
        <f t="shared" si="6"/>
        <v>3.1026913499807516</v>
      </c>
      <c r="O11" s="34">
        <f t="shared" si="7"/>
        <v>38.393150676619868</v>
      </c>
      <c r="P11" s="34">
        <f t="shared" si="8"/>
        <v>2.4748288724792462</v>
      </c>
      <c r="Q11" s="34">
        <f t="shared" si="9"/>
        <v>40.867979549099111</v>
      </c>
      <c r="R11" s="34">
        <f>+'[7]Colector Los Pelues'!$AA$23</f>
        <v>6.7232890131546394</v>
      </c>
      <c r="S11" s="57">
        <f t="shared" si="10"/>
        <v>47.591268562253752</v>
      </c>
      <c r="U11" s="46">
        <f t="shared" si="11"/>
        <v>47.591268562253752</v>
      </c>
      <c r="V11" s="34">
        <f t="shared" si="12"/>
        <v>0</v>
      </c>
    </row>
    <row r="12" spans="1:22" x14ac:dyDescent="0.3">
      <c r="B12" s="2">
        <f t="shared" si="2"/>
        <v>2028</v>
      </c>
      <c r="C12" s="3">
        <f t="shared" si="3"/>
        <v>154.42962521726449</v>
      </c>
      <c r="D12" s="3">
        <f t="shared" si="0"/>
        <v>154.42962521726449</v>
      </c>
      <c r="E12" s="3">
        <f t="shared" si="4"/>
        <v>1.6965948922732486</v>
      </c>
      <c r="F12" s="3">
        <f t="shared" si="4"/>
        <v>340.43271663111949</v>
      </c>
      <c r="G12" s="3">
        <f>+'[8]Colector Los Pelues'!$AB$23</f>
        <v>48.591898867598545</v>
      </c>
      <c r="H12" s="3">
        <f t="shared" si="1"/>
        <v>105.83772634966594</v>
      </c>
      <c r="K12" s="56">
        <f t="shared" si="5"/>
        <v>2028</v>
      </c>
      <c r="L12" s="9">
        <f>+'[8]Colector Los Pelues'!$V$23</f>
        <v>7121.9544656925373</v>
      </c>
      <c r="M12" s="35">
        <f>+'[8]Colector Los Pelues'!$U$23</f>
        <v>12.646282824685841</v>
      </c>
      <c r="N12" s="44">
        <f t="shared" si="6"/>
        <v>3.0993600034306059</v>
      </c>
      <c r="O12" s="34">
        <f t="shared" si="7"/>
        <v>39.195383178902723</v>
      </c>
      <c r="P12" s="34">
        <f t="shared" si="8"/>
        <v>2.5292565649371683</v>
      </c>
      <c r="Q12" s="34">
        <f t="shared" si="9"/>
        <v>41.724639743839894</v>
      </c>
      <c r="R12" s="34">
        <f>+'[8]Colector Los Pelues'!$AA$23</f>
        <v>6.8672591237586511</v>
      </c>
      <c r="S12" s="57">
        <f t="shared" si="10"/>
        <v>48.591898867598545</v>
      </c>
      <c r="U12" s="46">
        <f t="shared" si="11"/>
        <v>48.591898867598545</v>
      </c>
      <c r="V12" s="34">
        <f t="shared" si="12"/>
        <v>0</v>
      </c>
    </row>
    <row r="13" spans="1:22" x14ac:dyDescent="0.3">
      <c r="B13" s="2">
        <f t="shared" si="2"/>
        <v>2029</v>
      </c>
      <c r="C13" s="3">
        <f t="shared" si="3"/>
        <v>154.42962521726449</v>
      </c>
      <c r="D13" s="3">
        <f t="shared" si="0"/>
        <v>154.42962521726449</v>
      </c>
      <c r="E13" s="3">
        <f t="shared" si="4"/>
        <v>1.6965948922732486</v>
      </c>
      <c r="F13" s="3">
        <f t="shared" si="4"/>
        <v>340.43271663111949</v>
      </c>
      <c r="G13" s="3">
        <f>+'[9]Colector Los Pelues'!$AB$23</f>
        <v>49.594918763797715</v>
      </c>
      <c r="H13" s="3">
        <f t="shared" si="1"/>
        <v>104.83470645346677</v>
      </c>
      <c r="K13" s="56">
        <f t="shared" si="5"/>
        <v>2029</v>
      </c>
      <c r="L13" s="9">
        <f>+'[9]Colector Los Pelues'!$V$23</f>
        <v>7178.4364147462638</v>
      </c>
      <c r="M13" s="35">
        <f>+'[9]Colector Los Pelues'!$U$23</f>
        <v>12.919518002757281</v>
      </c>
      <c r="N13" s="44">
        <f t="shared" si="6"/>
        <v>3.0960404465737805</v>
      </c>
      <c r="O13" s="34">
        <f t="shared" si="7"/>
        <v>39.99935028677465</v>
      </c>
      <c r="P13" s="34">
        <f t="shared" si="8"/>
        <v>2.5839036005514564</v>
      </c>
      <c r="Q13" s="34">
        <f t="shared" si="9"/>
        <v>42.583253887326109</v>
      </c>
      <c r="R13" s="34">
        <f>+'[9]Colector Los Pelues'!$AA$23</f>
        <v>7.0116648764716061</v>
      </c>
      <c r="S13" s="57">
        <f t="shared" si="10"/>
        <v>49.594918763797715</v>
      </c>
      <c r="U13" s="46">
        <f t="shared" si="11"/>
        <v>49.594918763797715</v>
      </c>
      <c r="V13" s="34">
        <f t="shared" si="12"/>
        <v>0</v>
      </c>
    </row>
    <row r="14" spans="1:22" x14ac:dyDescent="0.3">
      <c r="B14" s="2">
        <f t="shared" si="2"/>
        <v>2030</v>
      </c>
      <c r="C14" s="3">
        <f t="shared" si="3"/>
        <v>154.42962521726449</v>
      </c>
      <c r="D14" s="3">
        <f t="shared" si="0"/>
        <v>154.42962521726449</v>
      </c>
      <c r="E14" s="3">
        <f t="shared" si="4"/>
        <v>1.6965948922732486</v>
      </c>
      <c r="F14" s="3">
        <f t="shared" si="4"/>
        <v>340.43271663111949</v>
      </c>
      <c r="G14" s="3">
        <f>+'[10]Colector Los Pelues'!$AB$23</f>
        <v>50.607963900139225</v>
      </c>
      <c r="H14" s="3">
        <f t="shared" si="1"/>
        <v>103.82166131712526</v>
      </c>
      <c r="K14" s="56">
        <f t="shared" si="5"/>
        <v>2030</v>
      </c>
      <c r="L14" s="9">
        <f>+'[10]Colector Los Pelues'!$V$23</f>
        <v>7235.2212160737381</v>
      </c>
      <c r="M14" s="35">
        <f>+'[10]Colector Los Pelues'!$U$23</f>
        <v>13.19586366938322</v>
      </c>
      <c r="N14" s="44">
        <f t="shared" si="6"/>
        <v>3.0927267327491488</v>
      </c>
      <c r="O14" s="34">
        <f t="shared" si="7"/>
        <v>40.811200332014756</v>
      </c>
      <c r="P14" s="34">
        <f t="shared" si="8"/>
        <v>2.6391727338766442</v>
      </c>
      <c r="Q14" s="34">
        <f t="shared" si="9"/>
        <v>43.450373065891398</v>
      </c>
      <c r="R14" s="34">
        <f>+'[10]Colector Los Pelues'!$AA$23</f>
        <v>7.1575908342478307</v>
      </c>
      <c r="S14" s="57">
        <f t="shared" si="10"/>
        <v>50.607963900139225</v>
      </c>
      <c r="U14" s="46">
        <f t="shared" si="11"/>
        <v>50.607963900139225</v>
      </c>
      <c r="V14" s="34">
        <f t="shared" si="12"/>
        <v>0</v>
      </c>
    </row>
    <row r="15" spans="1:22" x14ac:dyDescent="0.3">
      <c r="B15" s="2">
        <f t="shared" si="2"/>
        <v>2031</v>
      </c>
      <c r="C15" s="3">
        <f t="shared" si="3"/>
        <v>154.42962521726449</v>
      </c>
      <c r="D15" s="3">
        <f t="shared" si="0"/>
        <v>154.42962521726449</v>
      </c>
      <c r="E15" s="3">
        <f t="shared" si="4"/>
        <v>1.6965948922732486</v>
      </c>
      <c r="F15" s="3">
        <f t="shared" si="4"/>
        <v>340.43271663111949</v>
      </c>
      <c r="G15" s="3">
        <f>+'[11]Colector Los Pelues'!$AB$23</f>
        <v>51.629051310949464</v>
      </c>
      <c r="H15" s="3">
        <f t="shared" si="1"/>
        <v>102.80057390631502</v>
      </c>
      <c r="K15" s="56">
        <f t="shared" si="5"/>
        <v>2031</v>
      </c>
      <c r="L15" s="9">
        <f>+'[11]Colector Los Pelues'!$V$23</f>
        <v>7292.3088696749583</v>
      </c>
      <c r="M15" s="35">
        <f>+'[11]Colector Los Pelues'!$U$23</f>
        <v>13.474809632386069</v>
      </c>
      <c r="N15" s="44">
        <f t="shared" si="6"/>
        <v>3.0894189106123604</v>
      </c>
      <c r="O15" s="34">
        <f t="shared" si="7"/>
        <v>41.629331695195113</v>
      </c>
      <c r="P15" s="34">
        <f t="shared" si="8"/>
        <v>2.6949619264772142</v>
      </c>
      <c r="Q15" s="34">
        <f t="shared" si="9"/>
        <v>44.324293621672325</v>
      </c>
      <c r="R15" s="34">
        <f>+'[11]Colector Los Pelues'!$AA$23</f>
        <v>7.3047576892771362</v>
      </c>
      <c r="S15" s="57">
        <f t="shared" si="10"/>
        <v>51.629051310949464</v>
      </c>
      <c r="U15" s="46">
        <f t="shared" si="11"/>
        <v>51.629051310949464</v>
      </c>
      <c r="V15" s="34">
        <f t="shared" si="12"/>
        <v>0</v>
      </c>
    </row>
    <row r="16" spans="1:22" x14ac:dyDescent="0.3">
      <c r="B16" s="2">
        <f t="shared" si="2"/>
        <v>2032</v>
      </c>
      <c r="C16" s="3">
        <f t="shared" si="3"/>
        <v>154.42962521726449</v>
      </c>
      <c r="D16" s="3">
        <f t="shared" si="0"/>
        <v>154.42962521726449</v>
      </c>
      <c r="E16" s="3">
        <f t="shared" si="4"/>
        <v>1.6965948922732486</v>
      </c>
      <c r="F16" s="3">
        <f t="shared" si="4"/>
        <v>340.43271663111949</v>
      </c>
      <c r="G16" s="3">
        <f>+'[12]Colector Los Pelues'!$AB$23</f>
        <v>52.662152362870941</v>
      </c>
      <c r="H16" s="3">
        <f t="shared" si="1"/>
        <v>101.76747285439355</v>
      </c>
      <c r="K16" s="56">
        <f t="shared" si="5"/>
        <v>2032</v>
      </c>
      <c r="L16" s="9">
        <f>+'[12]Colector Los Pelues'!$V$23</f>
        <v>7349.6993755499243</v>
      </c>
      <c r="M16" s="35">
        <f>+'[12]Colector Los Pelues'!$U$23</f>
        <v>13.757399239310597</v>
      </c>
      <c r="N16" s="44">
        <f t="shared" si="6"/>
        <v>3.0861170273193914</v>
      </c>
      <c r="O16" s="34">
        <f t="shared" si="7"/>
        <v>42.456944044067278</v>
      </c>
      <c r="P16" s="34">
        <f t="shared" si="8"/>
        <v>2.7514798478621199</v>
      </c>
      <c r="Q16" s="34">
        <f t="shared" si="9"/>
        <v>45.208423891929399</v>
      </c>
      <c r="R16" s="34">
        <f>+'[12]Colector Los Pelues'!$AA$23</f>
        <v>7.4537284709415399</v>
      </c>
      <c r="S16" s="57">
        <f t="shared" si="10"/>
        <v>52.662152362870941</v>
      </c>
      <c r="U16" s="46">
        <f t="shared" si="11"/>
        <v>52.662152362870941</v>
      </c>
      <c r="V16" s="34">
        <f t="shared" si="12"/>
        <v>0</v>
      </c>
    </row>
    <row r="17" spans="2:22" x14ac:dyDescent="0.3">
      <c r="B17" s="2">
        <f t="shared" si="2"/>
        <v>2033</v>
      </c>
      <c r="C17" s="3">
        <f t="shared" si="3"/>
        <v>154.42962521726449</v>
      </c>
      <c r="D17" s="3">
        <f t="shared" si="0"/>
        <v>154.42962521726449</v>
      </c>
      <c r="E17" s="3">
        <f t="shared" si="4"/>
        <v>1.6965948922732486</v>
      </c>
      <c r="F17" s="3">
        <f t="shared" si="4"/>
        <v>340.43271663111949</v>
      </c>
      <c r="G17" s="3">
        <f>+'[13]Colector Los Pelues'!$AB$23</f>
        <v>53.69714869533955</v>
      </c>
      <c r="H17" s="3">
        <f t="shared" si="1"/>
        <v>100.73247652192494</v>
      </c>
      <c r="K17" s="56">
        <f t="shared" si="5"/>
        <v>2033</v>
      </c>
      <c r="L17" s="9">
        <f>+'[13]Colector Los Pelues'!$V$23</f>
        <v>7407.4432090775936</v>
      </c>
      <c r="M17" s="35">
        <f>+'[13]Colector Los Pelues'!$U$23</f>
        <v>14.041007016061458</v>
      </c>
      <c r="N17" s="44">
        <f t="shared" si="6"/>
        <v>3.082818255187552</v>
      </c>
      <c r="O17" s="34">
        <f t="shared" si="7"/>
        <v>43.285872750330761</v>
      </c>
      <c r="P17" s="34">
        <f t="shared" si="8"/>
        <v>2.8082014032122919</v>
      </c>
      <c r="Q17" s="34">
        <f t="shared" si="9"/>
        <v>46.094074153543055</v>
      </c>
      <c r="R17" s="34">
        <f>+'[13]Colector Los Pelues'!$AA$23</f>
        <v>7.6030745417964969</v>
      </c>
      <c r="S17" s="57">
        <f t="shared" si="10"/>
        <v>53.69714869533955</v>
      </c>
      <c r="U17" s="46">
        <f t="shared" si="11"/>
        <v>53.69714869533955</v>
      </c>
      <c r="V17" s="34">
        <f t="shared" si="12"/>
        <v>0</v>
      </c>
    </row>
    <row r="18" spans="2:22" x14ac:dyDescent="0.3">
      <c r="B18" s="2">
        <f t="shared" si="2"/>
        <v>2034</v>
      </c>
      <c r="C18" s="3">
        <f t="shared" si="3"/>
        <v>154.42962521726449</v>
      </c>
      <c r="D18" s="3">
        <f t="shared" si="0"/>
        <v>154.42962521726449</v>
      </c>
      <c r="E18" s="3">
        <f t="shared" si="4"/>
        <v>1.6965948922732486</v>
      </c>
      <c r="F18" s="3">
        <f t="shared" si="4"/>
        <v>340.43271663111949</v>
      </c>
      <c r="G18" s="3">
        <f>+'[14]Colector Los Pelues'!$AB$23</f>
        <v>54.742284479108527</v>
      </c>
      <c r="H18" s="3">
        <f t="shared" si="1"/>
        <v>99.687340738155967</v>
      </c>
      <c r="K18" s="56">
        <f t="shared" si="5"/>
        <v>2034</v>
      </c>
      <c r="L18" s="9">
        <f>+'[14]Colector Los Pelues'!$V$23</f>
        <v>7465.3889441210958</v>
      </c>
      <c r="M18" s="35">
        <f>+'[14]Colector Los Pelues'!$U$23</f>
        <v>14.327757430244898</v>
      </c>
      <c r="N18" s="44">
        <f t="shared" si="6"/>
        <v>3.0795312585730956</v>
      </c>
      <c r="O18" s="34">
        <f t="shared" si="7"/>
        <v>44.122776871692089</v>
      </c>
      <c r="P18" s="34">
        <f t="shared" si="8"/>
        <v>2.8655514860489797</v>
      </c>
      <c r="Q18" s="34">
        <f t="shared" si="9"/>
        <v>46.988328357741068</v>
      </c>
      <c r="R18" s="34">
        <f>+'[14]Colector Los Pelues'!$AA$23</f>
        <v>7.7539561213674606</v>
      </c>
      <c r="S18" s="57">
        <f t="shared" si="10"/>
        <v>54.742284479108527</v>
      </c>
      <c r="U18" s="46">
        <f t="shared" si="11"/>
        <v>54.742284479108527</v>
      </c>
      <c r="V18" s="34">
        <f t="shared" si="12"/>
        <v>0</v>
      </c>
    </row>
    <row r="19" spans="2:22" x14ac:dyDescent="0.3">
      <c r="B19" s="2">
        <f t="shared" si="2"/>
        <v>2035</v>
      </c>
      <c r="C19" s="3">
        <f t="shared" si="3"/>
        <v>154.42962521726449</v>
      </c>
      <c r="D19" s="3">
        <f t="shared" si="0"/>
        <v>154.42962521726449</v>
      </c>
      <c r="E19" s="3">
        <f t="shared" si="4"/>
        <v>1.6965948922732486</v>
      </c>
      <c r="F19" s="3">
        <f t="shared" si="4"/>
        <v>340.43271663111949</v>
      </c>
      <c r="G19" s="3">
        <f>+'[15]Colector Los Pelues'!$AB$23</f>
        <v>55.795283998783638</v>
      </c>
      <c r="H19" s="3">
        <f t="shared" si="1"/>
        <v>98.634341218480841</v>
      </c>
      <c r="K19" s="56">
        <f t="shared" si="5"/>
        <v>2035</v>
      </c>
      <c r="L19" s="9">
        <f>+'[15]Colector Los Pelues'!$V$23</f>
        <v>7523.7384821962605</v>
      </c>
      <c r="M19" s="35">
        <f>+'[15]Colector Los Pelues'!$U$23</f>
        <v>14.617108140805259</v>
      </c>
      <c r="N19" s="44">
        <f t="shared" si="6"/>
        <v>3.0762446270977541</v>
      </c>
      <c r="O19" s="34">
        <f t="shared" si="7"/>
        <v>44.965800381859019</v>
      </c>
      <c r="P19" s="34">
        <f t="shared" si="8"/>
        <v>2.9234216281610519</v>
      </c>
      <c r="Q19" s="34">
        <f t="shared" si="9"/>
        <v>47.88922201002007</v>
      </c>
      <c r="R19" s="34">
        <f>+'[15]Colector Los Pelues'!$AA$23</f>
        <v>7.9060619887635699</v>
      </c>
      <c r="S19" s="57">
        <f t="shared" si="10"/>
        <v>55.795283998783638</v>
      </c>
      <c r="U19" s="46">
        <f t="shared" si="11"/>
        <v>55.795283998783638</v>
      </c>
      <c r="V19" s="34">
        <f t="shared" si="12"/>
        <v>0</v>
      </c>
    </row>
    <row r="20" spans="2:22" x14ac:dyDescent="0.3">
      <c r="B20" s="2">
        <f t="shared" si="2"/>
        <v>2036</v>
      </c>
      <c r="C20" s="3">
        <f t="shared" si="3"/>
        <v>154.42962521726449</v>
      </c>
      <c r="D20" s="3">
        <f t="shared" si="0"/>
        <v>154.42962521726449</v>
      </c>
      <c r="E20" s="3">
        <f t="shared" si="4"/>
        <v>1.6965948922732486</v>
      </c>
      <c r="F20" s="3">
        <f t="shared" si="4"/>
        <v>340.43271663111949</v>
      </c>
      <c r="G20" s="3">
        <f>+'[16]Colector Los Pelues'!$AB$23</f>
        <v>56.860415160994904</v>
      </c>
      <c r="H20" s="3">
        <f t="shared" si="1"/>
        <v>97.569210056269583</v>
      </c>
      <c r="K20" s="56">
        <f t="shared" si="5"/>
        <v>2036</v>
      </c>
      <c r="L20" s="9">
        <f>+'[16]Colector Los Pelues'!$V$23</f>
        <v>7582.3403971662119</v>
      </c>
      <c r="M20" s="35">
        <f>+'[16]Colector Los Pelues'!$U$23</f>
        <v>14.910148892364713</v>
      </c>
      <c r="N20" s="44">
        <f t="shared" si="6"/>
        <v>3.0729669616762307</v>
      </c>
      <c r="O20" s="34">
        <f t="shared" si="7"/>
        <v>45.818394939910213</v>
      </c>
      <c r="P20" s="34">
        <f t="shared" si="8"/>
        <v>2.9820297784729428</v>
      </c>
      <c r="Q20" s="34">
        <f t="shared" si="9"/>
        <v>48.800424718383155</v>
      </c>
      <c r="R20" s="34">
        <f>+'[16]Colector Los Pelues'!$AA$23</f>
        <v>8.0599904426117472</v>
      </c>
      <c r="S20" s="57">
        <f t="shared" si="10"/>
        <v>56.860415160994904</v>
      </c>
      <c r="U20" s="46">
        <f t="shared" si="11"/>
        <v>56.860415160994904</v>
      </c>
      <c r="V20" s="34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154.42962521726449</v>
      </c>
      <c r="D21" s="3">
        <f t="shared" si="0"/>
        <v>154.42962521726449</v>
      </c>
      <c r="E21" s="3">
        <f t="shared" si="4"/>
        <v>1.6965948922732486</v>
      </c>
      <c r="F21" s="3">
        <f t="shared" si="4"/>
        <v>340.43271663111949</v>
      </c>
      <c r="G21" s="3">
        <f>+'[17]Colector Los Pelues'!$AB$23</f>
        <v>57.927074314423407</v>
      </c>
      <c r="H21" s="3">
        <f t="shared" si="1"/>
        <v>96.50255090284108</v>
      </c>
      <c r="I21" s="13">
        <f>+G21/G6-1</f>
        <v>0.36659270521172882</v>
      </c>
      <c r="K21" s="58">
        <f t="shared" si="5"/>
        <v>2037</v>
      </c>
      <c r="L21" s="59">
        <f>+'[17]Colector Los Pelues'!$V$23</f>
        <v>7641.2956397888684</v>
      </c>
      <c r="M21" s="65">
        <f>+'[17]Colector Los Pelues'!$U$23</f>
        <v>15.204129267794992</v>
      </c>
      <c r="N21" s="61">
        <f t="shared" si="6"/>
        <v>3.0696926557472164</v>
      </c>
      <c r="O21" s="60">
        <f t="shared" si="7"/>
        <v>46.672003950381587</v>
      </c>
      <c r="P21" s="60">
        <f t="shared" si="8"/>
        <v>3.0408258535589985</v>
      </c>
      <c r="Q21" s="60">
        <f t="shared" si="9"/>
        <v>49.712829803940586</v>
      </c>
      <c r="R21" s="60">
        <f>+'[17]Colector Los Pelues'!$AA$23</f>
        <v>8.2142445104828177</v>
      </c>
      <c r="S21" s="62">
        <f t="shared" si="10"/>
        <v>57.927074314423407</v>
      </c>
      <c r="U21" s="46">
        <f t="shared" si="11"/>
        <v>57.927074314423407</v>
      </c>
      <c r="V21" s="34">
        <f t="shared" si="12"/>
        <v>0</v>
      </c>
    </row>
    <row r="22" spans="2:22" x14ac:dyDescent="0.3">
      <c r="K22" s="43"/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78</v>
      </c>
      <c r="E2" s="6" t="s">
        <v>7</v>
      </c>
      <c r="F2" s="7">
        <f>+'[17]Colector Los Pelues'!$N$18</f>
        <v>132.63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193</v>
      </c>
      <c r="O3" s="12" t="s">
        <v>192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Los Avellanos'!B6</f>
        <v>2022</v>
      </c>
      <c r="C6" s="3">
        <f>+SUMPRODUCT('[17]Colector Los Pelues'!$AL$17:$AL$18,'[17]Colector Los Pelues'!$M$17:$M$18)/F2</f>
        <v>131.59723258905649</v>
      </c>
      <c r="D6" s="3">
        <f t="shared" ref="D6:D21" si="0">+C6</f>
        <v>131.59723258905649</v>
      </c>
      <c r="E6" s="3">
        <f>D6/(0.25*PI()*(F6/1000)^2)/1000</f>
        <v>3.0237366089589117</v>
      </c>
      <c r="F6" s="3">
        <f>+SUMPRODUCT('[17]Colector Los Pelues'!$F$17:$F$18,'[17]Colector Los Pelues'!$M$17:$M$18)/F2</f>
        <v>235.4</v>
      </c>
      <c r="G6" s="3">
        <f>+'[2]Colector Los Pelues'!$AB$18</f>
        <v>12.230851709671603</v>
      </c>
      <c r="H6" s="3">
        <f t="shared" ref="H6:H21" si="1">+D6-G6</f>
        <v>119.36638087938489</v>
      </c>
      <c r="K6" s="56">
        <f>+B6</f>
        <v>2022</v>
      </c>
      <c r="L6" s="9">
        <f>+'[2]Colector Los Pelues'!$V$18</f>
        <v>624.25192182819785</v>
      </c>
      <c r="M6" s="34">
        <f>+'[2]Colector Los Pelues'!$U$18</f>
        <v>1.2683646539539413</v>
      </c>
      <c r="N6" s="44" t="str">
        <f>IF(L6&lt;1000,"",1+(14/(4+(SQRT(L6/1000)))))</f>
        <v/>
      </c>
      <c r="O6" s="34">
        <f>+'[2]Colector Los Pelues'!$Y$18</f>
        <v>6.0004321368288469</v>
      </c>
      <c r="P6" s="34">
        <f t="shared" ref="P6:P21" si="2">+M6*$P$4</f>
        <v>0.25367293079078829</v>
      </c>
      <c r="Q6" s="34">
        <f>+P6+O6</f>
        <v>6.2541050676196352</v>
      </c>
      <c r="R6" s="34">
        <f>+'[2]Colector Los Pelues'!$AA$18</f>
        <v>5.9767466420519675</v>
      </c>
      <c r="S6" s="57">
        <f>+R6+Q6</f>
        <v>12.230851709671603</v>
      </c>
      <c r="U6" s="46">
        <f>+G6</f>
        <v>12.230851709671603</v>
      </c>
      <c r="V6" s="34">
        <f>+U6-S6</f>
        <v>0</v>
      </c>
    </row>
    <row r="7" spans="1:22" x14ac:dyDescent="0.3">
      <c r="B7" s="2">
        <f t="shared" ref="B7:B21" si="3">+B6+1</f>
        <v>2023</v>
      </c>
      <c r="C7" s="3">
        <f t="shared" ref="C7:C21" si="4">+C6</f>
        <v>131.59723258905649</v>
      </c>
      <c r="D7" s="3">
        <f t="shared" si="0"/>
        <v>131.59723258905649</v>
      </c>
      <c r="E7" s="3">
        <f t="shared" ref="E7:F21" si="5">+E6</f>
        <v>3.0237366089589117</v>
      </c>
      <c r="F7" s="3">
        <f t="shared" si="5"/>
        <v>235.4</v>
      </c>
      <c r="G7" s="3">
        <f>+'[3]Colector Los Pelues'!$AB$18</f>
        <v>12.552737641452207</v>
      </c>
      <c r="H7" s="3">
        <f t="shared" si="1"/>
        <v>119.04449494760428</v>
      </c>
      <c r="K7" s="56">
        <f t="shared" ref="K7:K21" si="6">+B7</f>
        <v>2023</v>
      </c>
      <c r="L7" s="9">
        <f>+'[3]Colector Los Pelues'!$V$18</f>
        <v>629.30670252601828</v>
      </c>
      <c r="M7" s="34">
        <f>+'[3]Colector Los Pelues'!$U$18</f>
        <v>1.3083852048594338</v>
      </c>
      <c r="N7" s="44" t="str">
        <f t="shared" ref="N7:N21" si="7">IF(L7&lt;1000,"",1+(14/(4+(SQRT(L7/1000)))))</f>
        <v/>
      </c>
      <c r="O7" s="34">
        <f>+'[3]Colector Los Pelues'!$Y$18</f>
        <v>6.1292283222308548</v>
      </c>
      <c r="P7" s="34">
        <f t="shared" si="2"/>
        <v>0.26167704097188677</v>
      </c>
      <c r="Q7" s="34">
        <f t="shared" ref="Q7:Q21" si="8">+P7+O7</f>
        <v>6.3909053632027417</v>
      </c>
      <c r="R7" s="34">
        <f>+'[3]Colector Los Pelues'!$AA$18</f>
        <v>6.1618322782494657</v>
      </c>
      <c r="S7" s="57">
        <f t="shared" ref="S7:S21" si="9">+R7+Q7</f>
        <v>12.552737641452207</v>
      </c>
      <c r="U7" s="46">
        <f t="shared" ref="U7:U21" si="10">+G7</f>
        <v>12.552737641452207</v>
      </c>
      <c r="V7" s="34">
        <f t="shared" ref="V7:V21" si="11">+U7-S7</f>
        <v>0</v>
      </c>
    </row>
    <row r="8" spans="1:22" x14ac:dyDescent="0.3">
      <c r="B8" s="2">
        <f t="shared" si="3"/>
        <v>2024</v>
      </c>
      <c r="C8" s="3">
        <f t="shared" si="4"/>
        <v>131.59723258905649</v>
      </c>
      <c r="D8" s="3">
        <f t="shared" si="0"/>
        <v>131.59723258905649</v>
      </c>
      <c r="E8" s="3">
        <f t="shared" si="5"/>
        <v>3.0237366089589117</v>
      </c>
      <c r="F8" s="3">
        <f t="shared" si="5"/>
        <v>235.4</v>
      </c>
      <c r="G8" s="3">
        <f>+'[4]Colector Los Pelues'!$AB$18</f>
        <v>12.792057667016596</v>
      </c>
      <c r="H8" s="3">
        <f t="shared" si="1"/>
        <v>118.8051749220399</v>
      </c>
      <c r="K8" s="56">
        <f t="shared" si="6"/>
        <v>2024</v>
      </c>
      <c r="L8" s="9">
        <f>+'[4]Colector Los Pelues'!$V$18</f>
        <v>634.38469158333282</v>
      </c>
      <c r="M8" s="34">
        <f>+'[4]Colector Los Pelues'!$U$18</f>
        <v>1.3386445434066687</v>
      </c>
      <c r="N8" s="44" t="str">
        <f t="shared" si="7"/>
        <v/>
      </c>
      <c r="O8" s="34">
        <f>+'[4]Colector Los Pelues'!$Y$18</f>
        <v>6.2235652900750722</v>
      </c>
      <c r="P8" s="34">
        <f t="shared" si="2"/>
        <v>0.26772890868133375</v>
      </c>
      <c r="Q8" s="34">
        <f t="shared" si="8"/>
        <v>6.4912941987564059</v>
      </c>
      <c r="R8" s="34">
        <f>+'[4]Colector Los Pelues'!$AA$18</f>
        <v>6.3007634682601914</v>
      </c>
      <c r="S8" s="57">
        <f t="shared" si="9"/>
        <v>12.792057667016596</v>
      </c>
      <c r="U8" s="46">
        <f t="shared" si="10"/>
        <v>12.792057667016596</v>
      </c>
      <c r="V8" s="34">
        <f t="shared" si="11"/>
        <v>0</v>
      </c>
    </row>
    <row r="9" spans="1:22" x14ac:dyDescent="0.3">
      <c r="B9" s="2">
        <f t="shared" si="3"/>
        <v>2025</v>
      </c>
      <c r="C9" s="3">
        <f t="shared" si="4"/>
        <v>131.59723258905649</v>
      </c>
      <c r="D9" s="3">
        <f t="shared" si="0"/>
        <v>131.59723258905649</v>
      </c>
      <c r="E9" s="3">
        <f t="shared" si="5"/>
        <v>3.0237366089589117</v>
      </c>
      <c r="F9" s="3">
        <f t="shared" si="5"/>
        <v>235.4</v>
      </c>
      <c r="G9" s="3">
        <f>+'[5]Colector Los Pelues'!$AB$18</f>
        <v>13.032534062960883</v>
      </c>
      <c r="H9" s="3">
        <f t="shared" si="1"/>
        <v>118.56469852609561</v>
      </c>
      <c r="K9" s="56">
        <f t="shared" si="6"/>
        <v>2025</v>
      </c>
      <c r="L9" s="9">
        <f>+'[5]Colector Los Pelues'!$V$18</f>
        <v>639.48124732824272</v>
      </c>
      <c r="M9" s="34">
        <f>+'[5]Colector Los Pelues'!$U$18</f>
        <v>1.3690397794177553</v>
      </c>
      <c r="N9" s="44" t="str">
        <f t="shared" si="7"/>
        <v/>
      </c>
      <c r="O9" s="34">
        <f>+'[5]Colector Los Pelues'!$Y$18</f>
        <v>6.318546552662152</v>
      </c>
      <c r="P9" s="34">
        <f t="shared" si="2"/>
        <v>0.27380795588355106</v>
      </c>
      <c r="Q9" s="34">
        <f t="shared" si="8"/>
        <v>6.5923545085457027</v>
      </c>
      <c r="R9" s="34">
        <f>+'[5]Colector Los Pelues'!$AA$18</f>
        <v>6.4401795544151801</v>
      </c>
      <c r="S9" s="57">
        <f t="shared" si="9"/>
        <v>13.032534062960883</v>
      </c>
      <c r="U9" s="46">
        <f t="shared" si="10"/>
        <v>13.032534062960883</v>
      </c>
      <c r="V9" s="34">
        <f t="shared" si="11"/>
        <v>0</v>
      </c>
    </row>
    <row r="10" spans="1:22" x14ac:dyDescent="0.3">
      <c r="B10" s="2">
        <f t="shared" si="3"/>
        <v>2026</v>
      </c>
      <c r="C10" s="3">
        <f t="shared" si="4"/>
        <v>131.59723258905649</v>
      </c>
      <c r="D10" s="3">
        <f t="shared" si="0"/>
        <v>131.59723258905649</v>
      </c>
      <c r="E10" s="3">
        <f t="shared" si="5"/>
        <v>3.0237366089589117</v>
      </c>
      <c r="F10" s="3">
        <f t="shared" si="5"/>
        <v>235.4</v>
      </c>
      <c r="G10" s="3">
        <f>+'[6]Colector Los Pelues'!$AB$18</f>
        <v>13.275996795628014</v>
      </c>
      <c r="H10" s="3">
        <f t="shared" si="1"/>
        <v>118.32123579342847</v>
      </c>
      <c r="K10" s="56">
        <f t="shared" si="6"/>
        <v>2026</v>
      </c>
      <c r="L10" s="9">
        <f>+'[6]Colector Los Pelues'!$V$18</f>
        <v>644.60565310454547</v>
      </c>
      <c r="M10" s="34">
        <f>+'[6]Colector Los Pelues'!$U$18</f>
        <v>1.3997909689510324</v>
      </c>
      <c r="N10" s="44" t="str">
        <f t="shared" si="7"/>
        <v/>
      </c>
      <c r="O10" s="34">
        <f>+'[6]Colector Los Pelues'!$Y$18</f>
        <v>6.4149308527735789</v>
      </c>
      <c r="P10" s="34">
        <f t="shared" si="2"/>
        <v>0.27995819379020648</v>
      </c>
      <c r="Q10" s="34">
        <f t="shared" si="8"/>
        <v>6.6948890465637856</v>
      </c>
      <c r="R10" s="34">
        <f>+'[6]Colector Los Pelues'!$AA$18</f>
        <v>6.5811077490642296</v>
      </c>
      <c r="S10" s="57">
        <f t="shared" si="9"/>
        <v>13.275996795628014</v>
      </c>
      <c r="U10" s="46">
        <f t="shared" si="10"/>
        <v>13.275996795628014</v>
      </c>
      <c r="V10" s="34">
        <f t="shared" si="11"/>
        <v>0</v>
      </c>
    </row>
    <row r="11" spans="1:22" x14ac:dyDescent="0.3">
      <c r="B11" s="2">
        <f t="shared" si="3"/>
        <v>2027</v>
      </c>
      <c r="C11" s="3">
        <f t="shared" si="4"/>
        <v>131.59723258905649</v>
      </c>
      <c r="D11" s="3">
        <f t="shared" si="0"/>
        <v>131.59723258905649</v>
      </c>
      <c r="E11" s="3">
        <f t="shared" si="5"/>
        <v>3.0237366089589117</v>
      </c>
      <c r="F11" s="3">
        <f t="shared" si="5"/>
        <v>235.4</v>
      </c>
      <c r="G11" s="3">
        <f>+'[7]Colector Los Pelues'!$AB$18</f>
        <v>13.52199161677245</v>
      </c>
      <c r="H11" s="3">
        <f t="shared" si="1"/>
        <v>118.07524097228404</v>
      </c>
      <c r="K11" s="56">
        <f t="shared" si="6"/>
        <v>2027</v>
      </c>
      <c r="L11" s="9">
        <f>+'[7]Colector Los Pelues'!$V$18</f>
        <v>649.75326724034244</v>
      </c>
      <c r="M11" s="34">
        <f>+'[7]Colector Los Pelues'!$U$18</f>
        <v>1.4308428350669482</v>
      </c>
      <c r="N11" s="44" t="str">
        <f t="shared" si="7"/>
        <v/>
      </c>
      <c r="O11" s="34">
        <f>+'[7]Colector Los Pelues'!$Y$18</f>
        <v>6.5125340366044204</v>
      </c>
      <c r="P11" s="34">
        <f t="shared" si="2"/>
        <v>0.28616856701338966</v>
      </c>
      <c r="Q11" s="34">
        <f t="shared" si="8"/>
        <v>6.7987026036178104</v>
      </c>
      <c r="R11" s="34">
        <f>+'[7]Colector Los Pelues'!$AA$18</f>
        <v>6.7232890131546394</v>
      </c>
      <c r="S11" s="57">
        <f t="shared" si="9"/>
        <v>13.52199161677245</v>
      </c>
      <c r="U11" s="46">
        <f t="shared" si="10"/>
        <v>13.52199161677245</v>
      </c>
      <c r="V11" s="34">
        <f t="shared" si="11"/>
        <v>0</v>
      </c>
    </row>
    <row r="12" spans="1:22" x14ac:dyDescent="0.3">
      <c r="B12" s="2">
        <f t="shared" si="3"/>
        <v>2028</v>
      </c>
      <c r="C12" s="3">
        <f t="shared" si="4"/>
        <v>131.59723258905649</v>
      </c>
      <c r="D12" s="3">
        <f t="shared" si="0"/>
        <v>131.59723258905649</v>
      </c>
      <c r="E12" s="3">
        <f t="shared" si="5"/>
        <v>3.0237366089589117</v>
      </c>
      <c r="F12" s="3">
        <f t="shared" si="5"/>
        <v>235.4</v>
      </c>
      <c r="G12" s="3">
        <f>+'[8]Colector Los Pelues'!$AB$18</f>
        <v>13.771478266633981</v>
      </c>
      <c r="H12" s="3">
        <f t="shared" si="1"/>
        <v>117.82575432242251</v>
      </c>
      <c r="K12" s="56">
        <f t="shared" si="6"/>
        <v>2028</v>
      </c>
      <c r="L12" s="9">
        <f>+'[8]Colector Los Pelues'!$V$18</f>
        <v>654.92873140753227</v>
      </c>
      <c r="M12" s="34">
        <f>+'[8]Colector Los Pelues'!$U$18</f>
        <v>1.4623106568014785</v>
      </c>
      <c r="N12" s="44" t="str">
        <f t="shared" si="7"/>
        <v/>
      </c>
      <c r="O12" s="34">
        <f>+'[8]Colector Los Pelues'!$Y$18</f>
        <v>6.6117570115150333</v>
      </c>
      <c r="P12" s="34">
        <f t="shared" si="2"/>
        <v>0.2924621313602957</v>
      </c>
      <c r="Q12" s="34">
        <f t="shared" si="8"/>
        <v>6.9042191428753288</v>
      </c>
      <c r="R12" s="34">
        <f>+'[8]Colector Los Pelues'!$AA$18</f>
        <v>6.8672591237586511</v>
      </c>
      <c r="S12" s="57">
        <f t="shared" si="9"/>
        <v>13.771478266633981</v>
      </c>
      <c r="U12" s="46">
        <f t="shared" si="10"/>
        <v>13.771478266633981</v>
      </c>
      <c r="V12" s="34">
        <f t="shared" si="11"/>
        <v>0</v>
      </c>
    </row>
    <row r="13" spans="1:22" x14ac:dyDescent="0.3">
      <c r="B13" s="2">
        <f t="shared" si="3"/>
        <v>2029</v>
      </c>
      <c r="C13" s="3">
        <f t="shared" si="4"/>
        <v>131.59723258905649</v>
      </c>
      <c r="D13" s="3">
        <f t="shared" si="0"/>
        <v>131.59723258905649</v>
      </c>
      <c r="E13" s="3">
        <f t="shared" si="5"/>
        <v>3.0237366089589117</v>
      </c>
      <c r="F13" s="3">
        <f t="shared" si="5"/>
        <v>235.4</v>
      </c>
      <c r="G13" s="3">
        <f>+'[9]Colector Los Pelues'!$AB$18</f>
        <v>14.022035755364339</v>
      </c>
      <c r="H13" s="3">
        <f t="shared" si="1"/>
        <v>117.57519683369215</v>
      </c>
      <c r="K13" s="56">
        <f t="shared" si="6"/>
        <v>2029</v>
      </c>
      <c r="L13" s="9">
        <f>+'[9]Colector Los Pelues'!$V$18</f>
        <v>660.12276226231745</v>
      </c>
      <c r="M13" s="34">
        <f>+'[9]Colector Los Pelues'!$U$18</f>
        <v>1.4939052936007582</v>
      </c>
      <c r="N13" s="44" t="str">
        <f t="shared" si="7"/>
        <v/>
      </c>
      <c r="O13" s="34">
        <f>+'[9]Colector Los Pelues'!$Y$18</f>
        <v>6.7115898201725805</v>
      </c>
      <c r="P13" s="34">
        <f t="shared" si="2"/>
        <v>0.29878105872015165</v>
      </c>
      <c r="Q13" s="34">
        <f t="shared" si="8"/>
        <v>7.0103708788927319</v>
      </c>
      <c r="R13" s="34">
        <f>+'[9]Colector Los Pelues'!$AA$18</f>
        <v>7.0116648764716061</v>
      </c>
      <c r="S13" s="57">
        <f t="shared" si="9"/>
        <v>14.022035755364339</v>
      </c>
      <c r="U13" s="46">
        <f t="shared" si="10"/>
        <v>14.022035755364339</v>
      </c>
      <c r="V13" s="34">
        <f t="shared" si="11"/>
        <v>0</v>
      </c>
    </row>
    <row r="14" spans="1:22" x14ac:dyDescent="0.3">
      <c r="B14" s="2">
        <f t="shared" si="3"/>
        <v>2030</v>
      </c>
      <c r="C14" s="3">
        <f t="shared" si="4"/>
        <v>131.59723258905649</v>
      </c>
      <c r="D14" s="3">
        <f t="shared" si="0"/>
        <v>131.59723258905649</v>
      </c>
      <c r="E14" s="3">
        <f t="shared" si="5"/>
        <v>3.0237366089589117</v>
      </c>
      <c r="F14" s="3">
        <f t="shared" si="5"/>
        <v>235.4</v>
      </c>
      <c r="G14" s="3">
        <f>+'[10]Colector Los Pelues'!$AB$18</f>
        <v>14.275604582287293</v>
      </c>
      <c r="H14" s="3">
        <f t="shared" si="1"/>
        <v>117.3216280067692</v>
      </c>
      <c r="K14" s="56">
        <f t="shared" si="6"/>
        <v>2030</v>
      </c>
      <c r="L14" s="9">
        <f>+'[10]Colector Los Pelues'!$V$18</f>
        <v>665.34464314849561</v>
      </c>
      <c r="M14" s="34">
        <f>+'[10]Colector Los Pelues'!$U$18</f>
        <v>1.5258596013503205</v>
      </c>
      <c r="N14" s="44" t="str">
        <f t="shared" si="7"/>
        <v/>
      </c>
      <c r="O14" s="34">
        <f>+'[10]Colector Los Pelues'!$Y$18</f>
        <v>6.8128418277693994</v>
      </c>
      <c r="P14" s="34">
        <f t="shared" si="2"/>
        <v>0.30517192027006412</v>
      </c>
      <c r="Q14" s="34">
        <f t="shared" si="8"/>
        <v>7.1180137480394636</v>
      </c>
      <c r="R14" s="34">
        <f>+'[10]Colector Los Pelues'!$AA$18</f>
        <v>7.1575908342478307</v>
      </c>
      <c r="S14" s="57">
        <f t="shared" si="9"/>
        <v>14.275604582287293</v>
      </c>
      <c r="U14" s="46">
        <f t="shared" si="10"/>
        <v>14.275604582287293</v>
      </c>
      <c r="V14" s="34">
        <f t="shared" si="11"/>
        <v>0</v>
      </c>
    </row>
    <row r="15" spans="1:22" x14ac:dyDescent="0.3">
      <c r="B15" s="2">
        <f t="shared" si="3"/>
        <v>2031</v>
      </c>
      <c r="C15" s="3">
        <f t="shared" si="4"/>
        <v>131.59723258905649</v>
      </c>
      <c r="D15" s="3">
        <f t="shared" si="0"/>
        <v>131.59723258905649</v>
      </c>
      <c r="E15" s="3">
        <f t="shared" si="5"/>
        <v>3.0237366089589117</v>
      </c>
      <c r="F15" s="3">
        <f t="shared" si="5"/>
        <v>235.4</v>
      </c>
      <c r="G15" s="3">
        <f>+'[11]Colector Los Pelues'!$AB$18</f>
        <v>14.531683009699243</v>
      </c>
      <c r="H15" s="3">
        <f t="shared" si="1"/>
        <v>117.06554957935725</v>
      </c>
      <c r="K15" s="56">
        <f t="shared" si="6"/>
        <v>2031</v>
      </c>
      <c r="L15" s="9">
        <f>+'[11]Colector Los Pelues'!$V$18</f>
        <v>670.59437406606673</v>
      </c>
      <c r="M15" s="34">
        <f>+'[11]Colector Los Pelues'!$U$18</f>
        <v>1.5581145856825216</v>
      </c>
      <c r="N15" s="44" t="str">
        <f t="shared" si="7"/>
        <v/>
      </c>
      <c r="O15" s="34">
        <f>+'[11]Colector Los Pelues'!$Y$18</f>
        <v>6.9153024032856028</v>
      </c>
      <c r="P15" s="34">
        <f t="shared" si="2"/>
        <v>0.31162291713650436</v>
      </c>
      <c r="Q15" s="34">
        <f t="shared" si="8"/>
        <v>7.2269253204221071</v>
      </c>
      <c r="R15" s="34">
        <f>+'[11]Colector Los Pelues'!$AA$18</f>
        <v>7.3047576892771362</v>
      </c>
      <c r="S15" s="57">
        <f t="shared" si="9"/>
        <v>14.531683009699243</v>
      </c>
      <c r="U15" s="46">
        <f t="shared" si="10"/>
        <v>14.531683009699243</v>
      </c>
      <c r="V15" s="34">
        <f t="shared" si="11"/>
        <v>0</v>
      </c>
    </row>
    <row r="16" spans="1:22" x14ac:dyDescent="0.3">
      <c r="B16" s="2">
        <f t="shared" si="3"/>
        <v>2032</v>
      </c>
      <c r="C16" s="3">
        <f t="shared" si="4"/>
        <v>131.59723258905649</v>
      </c>
      <c r="D16" s="3">
        <f t="shared" si="0"/>
        <v>131.59723258905649</v>
      </c>
      <c r="E16" s="3">
        <f t="shared" si="5"/>
        <v>3.0237366089589117</v>
      </c>
      <c r="F16" s="3">
        <f t="shared" si="5"/>
        <v>235.4</v>
      </c>
      <c r="G16" s="3">
        <f>+'[12]Colector Los Pelues'!$AB$18</f>
        <v>14.791292612360023</v>
      </c>
      <c r="H16" s="3">
        <f t="shared" si="1"/>
        <v>116.80593997669646</v>
      </c>
      <c r="K16" s="56">
        <f t="shared" si="6"/>
        <v>2032</v>
      </c>
      <c r="L16" s="9">
        <f>+'[12]Colector Los Pelues'!$V$18</f>
        <v>675.87195501503072</v>
      </c>
      <c r="M16" s="34">
        <f>+'[12]Colector Los Pelues'!$U$18</f>
        <v>1.5907908906043466</v>
      </c>
      <c r="N16" s="44" t="str">
        <f t="shared" si="7"/>
        <v/>
      </c>
      <c r="O16" s="34">
        <f>+'[12]Colector Los Pelues'!$Y$18</f>
        <v>7.0194059632976131</v>
      </c>
      <c r="P16" s="34">
        <f t="shared" si="2"/>
        <v>0.31815817812086933</v>
      </c>
      <c r="Q16" s="34">
        <f t="shared" si="8"/>
        <v>7.3375641414184827</v>
      </c>
      <c r="R16" s="34">
        <f>+'[12]Colector Los Pelues'!$AA$18</f>
        <v>7.4537284709415399</v>
      </c>
      <c r="S16" s="57">
        <f t="shared" si="9"/>
        <v>14.791292612360023</v>
      </c>
      <c r="U16" s="46">
        <f t="shared" si="10"/>
        <v>14.791292612360023</v>
      </c>
      <c r="V16" s="34">
        <f t="shared" si="11"/>
        <v>0</v>
      </c>
    </row>
    <row r="17" spans="2:22" x14ac:dyDescent="0.3">
      <c r="B17" s="2">
        <f t="shared" si="3"/>
        <v>2033</v>
      </c>
      <c r="C17" s="3">
        <f t="shared" si="4"/>
        <v>131.59723258905649</v>
      </c>
      <c r="D17" s="3">
        <f t="shared" si="0"/>
        <v>131.59723258905649</v>
      </c>
      <c r="E17" s="3">
        <f t="shared" si="5"/>
        <v>3.0237366089589117</v>
      </c>
      <c r="F17" s="3">
        <f t="shared" si="5"/>
        <v>235.4</v>
      </c>
      <c r="G17" s="3">
        <f>+'[13]Colector Los Pelues'!$AB$18</f>
        <v>15.051840821102973</v>
      </c>
      <c r="H17" s="3">
        <f t="shared" si="1"/>
        <v>116.54539176795352</v>
      </c>
      <c r="K17" s="56">
        <f t="shared" si="6"/>
        <v>2033</v>
      </c>
      <c r="L17" s="9">
        <f>+'[13]Colector Los Pelues'!$V$18</f>
        <v>681.18202766728655</v>
      </c>
      <c r="M17" s="34">
        <f>+'[13]Colector Los Pelues'!$U$18</f>
        <v>1.6235849281918193</v>
      </c>
      <c r="N17" s="44" t="str">
        <f t="shared" si="7"/>
        <v/>
      </c>
      <c r="O17" s="34">
        <f>+'[13]Colector Los Pelues'!$Y$18</f>
        <v>7.1240492936681115</v>
      </c>
      <c r="P17" s="34">
        <f t="shared" si="2"/>
        <v>0.32471698563836388</v>
      </c>
      <c r="Q17" s="34">
        <f t="shared" si="8"/>
        <v>7.4487662793064757</v>
      </c>
      <c r="R17" s="34">
        <f>+'[13]Colector Los Pelues'!$AA$18</f>
        <v>7.6030745417964969</v>
      </c>
      <c r="S17" s="57">
        <f t="shared" si="9"/>
        <v>15.051840821102973</v>
      </c>
      <c r="U17" s="46">
        <f t="shared" si="10"/>
        <v>15.051840821102973</v>
      </c>
      <c r="V17" s="34">
        <f t="shared" si="11"/>
        <v>0</v>
      </c>
    </row>
    <row r="18" spans="2:22" x14ac:dyDescent="0.3">
      <c r="B18" s="2">
        <f t="shared" si="3"/>
        <v>2034</v>
      </c>
      <c r="C18" s="3">
        <f t="shared" si="4"/>
        <v>131.59723258905649</v>
      </c>
      <c r="D18" s="3">
        <f t="shared" si="0"/>
        <v>131.59723258905649</v>
      </c>
      <c r="E18" s="3">
        <f t="shared" si="5"/>
        <v>3.0237366089589117</v>
      </c>
      <c r="F18" s="3">
        <f t="shared" si="5"/>
        <v>235.4</v>
      </c>
      <c r="G18" s="3">
        <f>+'[14]Colector Los Pelues'!$AB$18</f>
        <v>15.315455930565271</v>
      </c>
      <c r="H18" s="3">
        <f t="shared" si="1"/>
        <v>116.28177665849122</v>
      </c>
      <c r="K18" s="56">
        <f t="shared" si="6"/>
        <v>2034</v>
      </c>
      <c r="L18" s="9">
        <f>+'[14]Colector Los Pelues'!$V$18</f>
        <v>686.51066700713761</v>
      </c>
      <c r="M18" s="34">
        <f>+'[14]Colector Los Pelues'!$U$18</f>
        <v>1.6567423541576662</v>
      </c>
      <c r="N18" s="44" t="str">
        <f t="shared" si="7"/>
        <v/>
      </c>
      <c r="O18" s="34">
        <f>+'[14]Colector Los Pelues'!$Y$18</f>
        <v>7.2301513383662783</v>
      </c>
      <c r="P18" s="34">
        <f t="shared" si="2"/>
        <v>0.33134847083153329</v>
      </c>
      <c r="Q18" s="34">
        <f t="shared" si="8"/>
        <v>7.5614998091978114</v>
      </c>
      <c r="R18" s="34">
        <f>+'[14]Colector Los Pelues'!$AA$18</f>
        <v>7.7539561213674606</v>
      </c>
      <c r="S18" s="57">
        <f t="shared" si="9"/>
        <v>15.315455930565271</v>
      </c>
      <c r="U18" s="46">
        <f t="shared" si="10"/>
        <v>15.315455930565271</v>
      </c>
      <c r="V18" s="34">
        <f t="shared" si="11"/>
        <v>0</v>
      </c>
    </row>
    <row r="19" spans="2:22" x14ac:dyDescent="0.3">
      <c r="B19" s="2">
        <f t="shared" si="3"/>
        <v>2035</v>
      </c>
      <c r="C19" s="3">
        <f t="shared" si="4"/>
        <v>131.59723258905649</v>
      </c>
      <c r="D19" s="3">
        <f t="shared" si="0"/>
        <v>131.59723258905649</v>
      </c>
      <c r="E19" s="3">
        <f t="shared" si="5"/>
        <v>3.0237366089589117</v>
      </c>
      <c r="F19" s="3">
        <f t="shared" si="5"/>
        <v>235.4</v>
      </c>
      <c r="G19" s="3">
        <f>+'[15]Colector Los Pelues'!$AB$18</f>
        <v>15.581542122598737</v>
      </c>
      <c r="H19" s="3">
        <f t="shared" si="1"/>
        <v>116.01569046645776</v>
      </c>
      <c r="K19" s="56">
        <f t="shared" si="6"/>
        <v>2035</v>
      </c>
      <c r="L19" s="9">
        <f>+'[15]Colector Los Pelues'!$V$18</f>
        <v>691.87643972217938</v>
      </c>
      <c r="M19" s="34">
        <f>+'[15]Colector Los Pelues'!$U$18</f>
        <v>1.6902004567061524</v>
      </c>
      <c r="N19" s="44" t="str">
        <f t="shared" si="7"/>
        <v/>
      </c>
      <c r="O19" s="34">
        <f>+'[15]Colector Los Pelues'!$Y$18</f>
        <v>7.3374400424939363</v>
      </c>
      <c r="P19" s="34">
        <f t="shared" si="2"/>
        <v>0.33804009134123048</v>
      </c>
      <c r="Q19" s="34">
        <f t="shared" si="8"/>
        <v>7.6754801338351673</v>
      </c>
      <c r="R19" s="34">
        <f>+'[15]Colector Los Pelues'!$AA$18</f>
        <v>7.9060619887635699</v>
      </c>
      <c r="S19" s="57">
        <f t="shared" si="9"/>
        <v>15.581542122598737</v>
      </c>
      <c r="U19" s="46">
        <f t="shared" si="10"/>
        <v>15.581542122598737</v>
      </c>
      <c r="V19" s="34">
        <f t="shared" si="11"/>
        <v>0</v>
      </c>
    </row>
    <row r="20" spans="2:22" x14ac:dyDescent="0.3">
      <c r="B20" s="2">
        <f t="shared" si="3"/>
        <v>2036</v>
      </c>
      <c r="C20" s="3">
        <f t="shared" si="4"/>
        <v>131.59723258905649</v>
      </c>
      <c r="D20" s="3">
        <f t="shared" si="0"/>
        <v>131.59723258905649</v>
      </c>
      <c r="E20" s="3">
        <f t="shared" si="5"/>
        <v>3.0237366089589117</v>
      </c>
      <c r="F20" s="3">
        <f t="shared" si="5"/>
        <v>235.4</v>
      </c>
      <c r="G20" s="3">
        <f>+'[16]Colector Los Pelues'!$AB$18</f>
        <v>15.851213967889137</v>
      </c>
      <c r="H20" s="3">
        <f t="shared" si="1"/>
        <v>115.74601862116735</v>
      </c>
      <c r="K20" s="56">
        <f t="shared" si="6"/>
        <v>2036</v>
      </c>
      <c r="L20" s="9">
        <f>+'[16]Colector Los Pelues'!$V$18</f>
        <v>697.26542079671515</v>
      </c>
      <c r="M20" s="34">
        <f>+'[16]Colector Los Pelues'!$U$18</f>
        <v>1.7240852448152737</v>
      </c>
      <c r="N20" s="44" t="str">
        <f t="shared" si="7"/>
        <v/>
      </c>
      <c r="O20" s="34">
        <f>+'[16]Colector Los Pelues'!$Y$18</f>
        <v>7.4464064763143352</v>
      </c>
      <c r="P20" s="34">
        <f t="shared" si="2"/>
        <v>0.34481704896305476</v>
      </c>
      <c r="Q20" s="34">
        <f t="shared" si="8"/>
        <v>7.79122352527739</v>
      </c>
      <c r="R20" s="34">
        <f>+'[16]Colector Los Pelues'!$AA$18</f>
        <v>8.0599904426117472</v>
      </c>
      <c r="S20" s="57">
        <f t="shared" si="9"/>
        <v>15.851213967889137</v>
      </c>
      <c r="U20" s="46">
        <f t="shared" si="10"/>
        <v>15.851213967889137</v>
      </c>
      <c r="V20" s="34">
        <f t="shared" si="11"/>
        <v>0</v>
      </c>
    </row>
    <row r="21" spans="2:22" ht="13.8" thickBot="1" x14ac:dyDescent="0.35">
      <c r="B21" s="2">
        <f t="shared" si="3"/>
        <v>2037</v>
      </c>
      <c r="C21" s="3">
        <f t="shared" si="4"/>
        <v>131.59723258905649</v>
      </c>
      <c r="D21" s="3">
        <f t="shared" si="0"/>
        <v>131.59723258905649</v>
      </c>
      <c r="E21" s="3">
        <f t="shared" si="5"/>
        <v>3.0237366089589117</v>
      </c>
      <c r="F21" s="3">
        <f t="shared" si="5"/>
        <v>235.4</v>
      </c>
      <c r="G21" s="3">
        <f>+'[17]Colector Los Pelues'!$AB$18</f>
        <v>16.121737950262453</v>
      </c>
      <c r="H21" s="3">
        <f t="shared" si="1"/>
        <v>115.47549463879403</v>
      </c>
      <c r="I21" s="13">
        <f>+G21/G6-1</f>
        <v>0.3181206291230001</v>
      </c>
      <c r="K21" s="58">
        <f t="shared" si="6"/>
        <v>2037</v>
      </c>
      <c r="L21" s="59">
        <f>+'[17]Colector Los Pelues'!$V$18</f>
        <v>702.68689357454275</v>
      </c>
      <c r="M21" s="60">
        <f>+'[17]Colector Los Pelues'!$U$18</f>
        <v>1.7580786831909394</v>
      </c>
      <c r="N21" s="61" t="str">
        <f t="shared" si="7"/>
        <v/>
      </c>
      <c r="O21" s="60">
        <f>+'[17]Colector Los Pelues'!$Y$18</f>
        <v>7.555877703141447</v>
      </c>
      <c r="P21" s="60">
        <f t="shared" si="2"/>
        <v>0.3516157366381879</v>
      </c>
      <c r="Q21" s="60">
        <f t="shared" si="8"/>
        <v>7.9074934397796346</v>
      </c>
      <c r="R21" s="60">
        <f>+'[17]Colector Los Pelues'!$AA$18</f>
        <v>8.2142445104828177</v>
      </c>
      <c r="S21" s="62">
        <f t="shared" si="9"/>
        <v>16.121737950262453</v>
      </c>
      <c r="U21" s="46">
        <f t="shared" si="10"/>
        <v>16.121737950262453</v>
      </c>
      <c r="V21" s="34">
        <f t="shared" si="11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V22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67</v>
      </c>
      <c r="E2" s="6" t="s">
        <v>7</v>
      </c>
      <c r="F2" s="7">
        <f>+'[17]Colector Los Avellanos'!$N$29</f>
        <v>791.16000000000008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115</v>
      </c>
      <c r="O3" s="12" t="s">
        <v>116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Domeyko'!B6</f>
        <v>2022</v>
      </c>
      <c r="C6" s="3">
        <f>+SUMPRODUCT('[17]Colector Los Avellanos'!$AL$17:$AL$29,'[17]Colector Los Avellanos'!$M$17:$M$29)/F2</f>
        <v>74.613146045099171</v>
      </c>
      <c r="D6" s="3">
        <f t="shared" ref="D6:D21" si="0">+C6</f>
        <v>74.613146045099171</v>
      </c>
      <c r="E6" s="3">
        <f>D6/(0.25*PI()*(F6/1000)^2)/1000</f>
        <v>0.84429847055979446</v>
      </c>
      <c r="F6" s="3">
        <f>+SUMPRODUCT('[17]Colector Los Avellanos'!$F$17:$F$29,'[17]Colector Los Avellanos'!$M$17:$M$29)/F2</f>
        <v>335.43991101673481</v>
      </c>
      <c r="G6" s="3">
        <f>+'[2]Colector Los Avellanos'!$AB$29</f>
        <v>32.590022379121194</v>
      </c>
      <c r="H6" s="3">
        <f t="shared" ref="H6:H21" si="1">+D6-G6</f>
        <v>42.023123665977977</v>
      </c>
      <c r="K6" s="56">
        <f>+B6</f>
        <v>2022</v>
      </c>
      <c r="L6" s="9">
        <f>+'[2]Colector Los Avellanos'!$V$29</f>
        <v>6164.1107643325431</v>
      </c>
      <c r="M6" s="35">
        <f>+'[2]Colector Los Avellanos'!$U$29</f>
        <v>9.7006439244427547</v>
      </c>
      <c r="N6" s="44">
        <f>1+(14/(4+(SQRT(L6/1000))))</f>
        <v>3.1595730997819613</v>
      </c>
      <c r="O6" s="34">
        <f>+N6*M6</f>
        <v>30.649893594232644</v>
      </c>
      <c r="P6" s="34">
        <f t="shared" ref="P6:P21" si="2">+M6*$P$4</f>
        <v>1.9401287848885511</v>
      </c>
      <c r="Q6" s="34">
        <f>+P6+O6</f>
        <v>32.590022379121194</v>
      </c>
      <c r="S6" s="57">
        <f>+R6+Q6</f>
        <v>32.590022379121194</v>
      </c>
      <c r="U6" s="46">
        <f t="shared" ref="U6:U21" si="3">+G6</f>
        <v>32.590022379121194</v>
      </c>
      <c r="V6" s="46">
        <f>+S6-U6</f>
        <v>0</v>
      </c>
    </row>
    <row r="7" spans="1:22" x14ac:dyDescent="0.3">
      <c r="B7" s="2">
        <f t="shared" ref="B7:B21" si="4">+B6+1</f>
        <v>2023</v>
      </c>
      <c r="C7" s="3">
        <f t="shared" ref="C7:C21" si="5">+C6</f>
        <v>74.613146045099171</v>
      </c>
      <c r="D7" s="3">
        <f t="shared" si="0"/>
        <v>74.613146045099171</v>
      </c>
      <c r="E7" s="3">
        <f t="shared" ref="E7:F21" si="6">+E6</f>
        <v>0.84429847055979446</v>
      </c>
      <c r="F7" s="3">
        <f t="shared" si="6"/>
        <v>335.43991101673481</v>
      </c>
      <c r="G7" s="3">
        <f>+'[3]Colector Los Avellanos'!$AB$29</f>
        <v>33.584942572317516</v>
      </c>
      <c r="H7" s="3">
        <f t="shared" si="1"/>
        <v>41.028203472781655</v>
      </c>
      <c r="K7" s="56">
        <f t="shared" ref="K7:K21" si="7">+B7</f>
        <v>2023</v>
      </c>
      <c r="L7" s="9">
        <f>+'[3]Colector Los Avellanos'!$V$29</f>
        <v>6214.0236713197173</v>
      </c>
      <c r="M7" s="35">
        <f>+'[3]Colector Los Avellanos'!$U$29</f>
        <v>10.006727125976306</v>
      </c>
      <c r="N7" s="44">
        <f t="shared" ref="N7:N21" si="8">1+(14/(4+(SQRT(L7/1000))))</f>
        <v>3.1562364746746101</v>
      </c>
      <c r="O7" s="34">
        <f t="shared" ref="O7:O21" si="9">+N7*M7</f>
        <v>31.583597147122251</v>
      </c>
      <c r="P7" s="34">
        <f t="shared" si="2"/>
        <v>2.0013454251952614</v>
      </c>
      <c r="Q7" s="34">
        <f t="shared" ref="Q7:Q21" si="10">+P7+O7</f>
        <v>33.584942572317516</v>
      </c>
      <c r="S7" s="57">
        <f t="shared" ref="S7:S21" si="11">+R7+Q7</f>
        <v>33.584942572317516</v>
      </c>
      <c r="U7" s="46">
        <f t="shared" si="3"/>
        <v>33.584942572317516</v>
      </c>
      <c r="V7" s="46">
        <f t="shared" ref="V7:V21" si="12">+S7-U7</f>
        <v>0</v>
      </c>
    </row>
    <row r="8" spans="1:22" x14ac:dyDescent="0.3">
      <c r="B8" s="2">
        <f t="shared" si="4"/>
        <v>2024</v>
      </c>
      <c r="C8" s="3">
        <f t="shared" si="5"/>
        <v>74.613146045099171</v>
      </c>
      <c r="D8" s="3">
        <f t="shared" si="0"/>
        <v>74.613146045099171</v>
      </c>
      <c r="E8" s="3">
        <f t="shared" si="6"/>
        <v>0.84429847055979446</v>
      </c>
      <c r="F8" s="3">
        <f t="shared" si="6"/>
        <v>335.43991101673481</v>
      </c>
      <c r="G8" s="3">
        <f>+'[4]Colector Los Avellanos'!$AB$29</f>
        <v>34.327595215082553</v>
      </c>
      <c r="H8" s="3">
        <f t="shared" si="1"/>
        <v>40.285550830016618</v>
      </c>
      <c r="K8" s="56">
        <f t="shared" si="7"/>
        <v>2024</v>
      </c>
      <c r="L8" s="9">
        <f>+'[4]Colector Los Avellanos'!$V$29</f>
        <v>6264.1657468421854</v>
      </c>
      <c r="M8" s="35">
        <f>+'[4]Colector Los Avellanos'!$U$29</f>
        <v>10.238155105083763</v>
      </c>
      <c r="N8" s="44">
        <f t="shared" si="8"/>
        <v>3.152908298687247</v>
      </c>
      <c r="O8" s="34">
        <f t="shared" si="9"/>
        <v>32.279964194065798</v>
      </c>
      <c r="P8" s="34">
        <f t="shared" si="2"/>
        <v>2.0476310210167528</v>
      </c>
      <c r="Q8" s="34">
        <f t="shared" si="10"/>
        <v>34.327595215082553</v>
      </c>
      <c r="S8" s="57">
        <f t="shared" si="11"/>
        <v>34.327595215082553</v>
      </c>
      <c r="U8" s="46">
        <f t="shared" si="3"/>
        <v>34.327595215082553</v>
      </c>
      <c r="V8" s="46">
        <f t="shared" si="12"/>
        <v>0</v>
      </c>
    </row>
    <row r="9" spans="1:22" x14ac:dyDescent="0.3">
      <c r="B9" s="2">
        <f t="shared" si="4"/>
        <v>2025</v>
      </c>
      <c r="C9" s="3">
        <f t="shared" si="5"/>
        <v>74.613146045099171</v>
      </c>
      <c r="D9" s="3">
        <f t="shared" si="0"/>
        <v>74.613146045099171</v>
      </c>
      <c r="E9" s="3">
        <f t="shared" si="6"/>
        <v>0.84429847055979446</v>
      </c>
      <c r="F9" s="3">
        <f t="shared" si="6"/>
        <v>335.43991101673481</v>
      </c>
      <c r="G9" s="3">
        <f>+'[5]Colector Los Avellanos'!$AB$29</f>
        <v>35.072308721201679</v>
      </c>
      <c r="H9" s="3">
        <f t="shared" si="1"/>
        <v>39.540837323897492</v>
      </c>
      <c r="K9" s="56">
        <f t="shared" si="7"/>
        <v>2025</v>
      </c>
      <c r="L9" s="9">
        <f>+'[5]Colector Los Avellanos'!$V$29</f>
        <v>6314.4911571928897</v>
      </c>
      <c r="M9" s="35">
        <f>+'[5]Colector Los Avellanos'!$U$29</f>
        <v>10.470622448464701</v>
      </c>
      <c r="N9" s="44">
        <f t="shared" si="8"/>
        <v>3.1495915733590709</v>
      </c>
      <c r="O9" s="34">
        <f t="shared" si="9"/>
        <v>32.978184231508742</v>
      </c>
      <c r="P9" s="34">
        <f t="shared" si="2"/>
        <v>2.0941244896929403</v>
      </c>
      <c r="Q9" s="34">
        <f t="shared" si="10"/>
        <v>35.072308721201679</v>
      </c>
      <c r="S9" s="57">
        <f t="shared" si="11"/>
        <v>35.072308721201679</v>
      </c>
      <c r="U9" s="46">
        <f t="shared" si="3"/>
        <v>35.072308721201679</v>
      </c>
      <c r="V9" s="46">
        <f t="shared" si="12"/>
        <v>0</v>
      </c>
    </row>
    <row r="10" spans="1:22" x14ac:dyDescent="0.3">
      <c r="B10" s="2">
        <f t="shared" si="4"/>
        <v>2026</v>
      </c>
      <c r="C10" s="3">
        <f t="shared" si="5"/>
        <v>74.613146045099171</v>
      </c>
      <c r="D10" s="3">
        <f t="shared" si="0"/>
        <v>74.613146045099171</v>
      </c>
      <c r="E10" s="3">
        <f t="shared" si="6"/>
        <v>0.84429847055979446</v>
      </c>
      <c r="F10" s="3">
        <f t="shared" si="6"/>
        <v>335.43991101673481</v>
      </c>
      <c r="G10" s="3">
        <f>+'[6]Colector Los Avellanos'!$AB$29</f>
        <v>35.824647835497771</v>
      </c>
      <c r="H10" s="3">
        <f t="shared" si="1"/>
        <v>38.7884982096014</v>
      </c>
      <c r="K10" s="56">
        <f t="shared" si="7"/>
        <v>2026</v>
      </c>
      <c r="L10" s="9">
        <f>+'[6]Colector Los Avellanos'!$V$29</f>
        <v>6365.0915697859473</v>
      </c>
      <c r="M10" s="35">
        <f>+'[6]Colector Los Avellanos'!$U$29</f>
        <v>10.705812177999849</v>
      </c>
      <c r="N10" s="44">
        <f t="shared" si="8"/>
        <v>3.1462802485099117</v>
      </c>
      <c r="O10" s="34">
        <f t="shared" si="9"/>
        <v>33.683485399897805</v>
      </c>
      <c r="P10" s="34">
        <f t="shared" si="2"/>
        <v>2.1411624355999699</v>
      </c>
      <c r="Q10" s="34">
        <f t="shared" si="10"/>
        <v>35.824647835497771</v>
      </c>
      <c r="S10" s="57">
        <f t="shared" si="11"/>
        <v>35.824647835497771</v>
      </c>
      <c r="U10" s="46">
        <f t="shared" si="3"/>
        <v>35.824647835497771</v>
      </c>
      <c r="V10" s="46">
        <f t="shared" si="12"/>
        <v>0</v>
      </c>
    </row>
    <row r="11" spans="1:22" x14ac:dyDescent="0.3">
      <c r="B11" s="2">
        <f t="shared" si="4"/>
        <v>2027</v>
      </c>
      <c r="C11" s="3">
        <f t="shared" si="5"/>
        <v>74.613146045099171</v>
      </c>
      <c r="D11" s="3">
        <f t="shared" si="0"/>
        <v>74.613146045099171</v>
      </c>
      <c r="E11" s="3">
        <f t="shared" si="6"/>
        <v>0.84429847055979446</v>
      </c>
      <c r="F11" s="3">
        <f t="shared" si="6"/>
        <v>335.43991101673481</v>
      </c>
      <c r="G11" s="3">
        <f>+'[7]Colector Los Avellanos'!$AB$29</f>
        <v>36.583209098278736</v>
      </c>
      <c r="H11" s="3">
        <f t="shared" si="1"/>
        <v>38.029936946820435</v>
      </c>
      <c r="K11" s="56">
        <f t="shared" si="7"/>
        <v>2027</v>
      </c>
      <c r="L11" s="9">
        <f>+'[7]Colector Los Avellanos'!$V$29</f>
        <v>6415.9211509142988</v>
      </c>
      <c r="M11" s="35">
        <f>+'[7]Colector Los Avellanos'!$U$29</f>
        <v>10.943301527329282</v>
      </c>
      <c r="N11" s="44">
        <f t="shared" si="8"/>
        <v>3.1429773461799955</v>
      </c>
      <c r="O11" s="34">
        <f t="shared" si="9"/>
        <v>34.394548792812877</v>
      </c>
      <c r="P11" s="34">
        <f t="shared" si="2"/>
        <v>2.1886603054658567</v>
      </c>
      <c r="Q11" s="34">
        <f t="shared" si="10"/>
        <v>36.583209098278736</v>
      </c>
      <c r="S11" s="57">
        <f t="shared" si="11"/>
        <v>36.583209098278736</v>
      </c>
      <c r="U11" s="46">
        <f t="shared" si="3"/>
        <v>36.583209098278736</v>
      </c>
      <c r="V11" s="46">
        <f t="shared" si="12"/>
        <v>0</v>
      </c>
    </row>
    <row r="12" spans="1:22" x14ac:dyDescent="0.3">
      <c r="B12" s="2">
        <f t="shared" si="4"/>
        <v>2028</v>
      </c>
      <c r="C12" s="3">
        <f t="shared" si="5"/>
        <v>74.613146045099171</v>
      </c>
      <c r="D12" s="3">
        <f t="shared" si="0"/>
        <v>74.613146045099171</v>
      </c>
      <c r="E12" s="3">
        <f t="shared" si="6"/>
        <v>0.84429847055979446</v>
      </c>
      <c r="F12" s="3">
        <f t="shared" si="6"/>
        <v>335.43991101673481</v>
      </c>
      <c r="G12" s="3">
        <f>+'[8]Colector Los Avellanos'!$AB$29</f>
        <v>37.350887158423639</v>
      </c>
      <c r="H12" s="3">
        <f t="shared" si="1"/>
        <v>37.262258886675532</v>
      </c>
      <c r="K12" s="56">
        <f t="shared" si="7"/>
        <v>2028</v>
      </c>
      <c r="L12" s="9">
        <f>+'[8]Colector Los Avellanos'!$V$29</f>
        <v>6467.0257342850055</v>
      </c>
      <c r="M12" s="35">
        <f>+'[8]Colector Los Avellanos'!$U$29</f>
        <v>11.183972167884361</v>
      </c>
      <c r="N12" s="44">
        <f t="shared" si="8"/>
        <v>3.1396799095834296</v>
      </c>
      <c r="O12" s="34">
        <f t="shared" si="9"/>
        <v>35.114092724846763</v>
      </c>
      <c r="P12" s="34">
        <f t="shared" si="2"/>
        <v>2.2367944335768724</v>
      </c>
      <c r="Q12" s="34">
        <f t="shared" si="10"/>
        <v>37.350887158423639</v>
      </c>
      <c r="S12" s="57">
        <f t="shared" si="11"/>
        <v>37.350887158423639</v>
      </c>
      <c r="U12" s="46">
        <f t="shared" si="3"/>
        <v>37.350887158423639</v>
      </c>
      <c r="V12" s="46">
        <f t="shared" si="12"/>
        <v>0</v>
      </c>
    </row>
    <row r="13" spans="1:22" x14ac:dyDescent="0.3">
      <c r="B13" s="2">
        <f t="shared" si="4"/>
        <v>2029</v>
      </c>
      <c r="C13" s="3">
        <f t="shared" si="5"/>
        <v>74.613146045099171</v>
      </c>
      <c r="D13" s="3">
        <f t="shared" si="0"/>
        <v>74.613146045099171</v>
      </c>
      <c r="E13" s="3">
        <f t="shared" si="6"/>
        <v>0.84429847055979446</v>
      </c>
      <c r="F13" s="3">
        <f t="shared" si="6"/>
        <v>335.43991101673481</v>
      </c>
      <c r="G13" s="3">
        <f>+'[9]Colector Los Avellanos'!$AB$29</f>
        <v>38.120343895358594</v>
      </c>
      <c r="H13" s="3">
        <f t="shared" si="1"/>
        <v>36.492802149740577</v>
      </c>
      <c r="K13" s="56">
        <f t="shared" si="7"/>
        <v>2029</v>
      </c>
      <c r="L13" s="9">
        <f>+'[9]Colector Los Avellanos'!$V$29</f>
        <v>6518.3136524839465</v>
      </c>
      <c r="M13" s="35">
        <f>+'[9]Colector Los Avellanos'!$U$29</f>
        <v>11.425612709156523</v>
      </c>
      <c r="N13" s="44">
        <f t="shared" si="8"/>
        <v>3.1363938430022951</v>
      </c>
      <c r="O13" s="34">
        <f t="shared" si="9"/>
        <v>35.835221353527288</v>
      </c>
      <c r="P13" s="34">
        <f t="shared" si="2"/>
        <v>2.2851225418313046</v>
      </c>
      <c r="Q13" s="34">
        <f t="shared" si="10"/>
        <v>38.120343895358594</v>
      </c>
      <c r="S13" s="57">
        <f t="shared" si="11"/>
        <v>38.120343895358594</v>
      </c>
      <c r="U13" s="46">
        <f t="shared" si="3"/>
        <v>38.120343895358594</v>
      </c>
      <c r="V13" s="46">
        <f t="shared" si="12"/>
        <v>0</v>
      </c>
    </row>
    <row r="14" spans="1:22" x14ac:dyDescent="0.3">
      <c r="B14" s="2">
        <f t="shared" si="4"/>
        <v>2030</v>
      </c>
      <c r="C14" s="3">
        <f t="shared" si="5"/>
        <v>74.613146045099171</v>
      </c>
      <c r="D14" s="3">
        <f t="shared" si="0"/>
        <v>74.613146045099171</v>
      </c>
      <c r="E14" s="3">
        <f t="shared" si="6"/>
        <v>0.84429847055979446</v>
      </c>
      <c r="F14" s="3">
        <f t="shared" si="6"/>
        <v>335.43991101673481</v>
      </c>
      <c r="G14" s="3">
        <f>+'[10]Colector Los Avellanos'!$AB$29</f>
        <v>38.897445328085993</v>
      </c>
      <c r="H14" s="3">
        <f t="shared" si="1"/>
        <v>35.715700717013178</v>
      </c>
      <c r="K14" s="56">
        <f t="shared" si="7"/>
        <v>2030</v>
      </c>
      <c r="L14" s="9">
        <f>+'[10]Colector Los Avellanos'!$V$29</f>
        <v>6569.8765729252427</v>
      </c>
      <c r="M14" s="35">
        <f>+'[10]Colector Los Avellanos'!$U$29</f>
        <v>11.670004068032899</v>
      </c>
      <c r="N14" s="44">
        <f t="shared" si="8"/>
        <v>3.1331132621141036</v>
      </c>
      <c r="O14" s="34">
        <f t="shared" si="9"/>
        <v>36.563444514479414</v>
      </c>
      <c r="P14" s="34">
        <f t="shared" si="2"/>
        <v>2.33400081360658</v>
      </c>
      <c r="Q14" s="34">
        <f t="shared" si="10"/>
        <v>38.897445328085993</v>
      </c>
      <c r="S14" s="57">
        <f t="shared" si="11"/>
        <v>38.897445328085993</v>
      </c>
      <c r="U14" s="46">
        <f t="shared" si="3"/>
        <v>38.897445328085993</v>
      </c>
      <c r="V14" s="46">
        <f t="shared" si="12"/>
        <v>0</v>
      </c>
    </row>
    <row r="15" spans="1:22" x14ac:dyDescent="0.3">
      <c r="B15" s="2">
        <f t="shared" si="4"/>
        <v>2031</v>
      </c>
      <c r="C15" s="3">
        <f t="shared" si="5"/>
        <v>74.613146045099171</v>
      </c>
      <c r="D15" s="3">
        <f t="shared" si="0"/>
        <v>74.613146045099171</v>
      </c>
      <c r="E15" s="3">
        <f t="shared" si="6"/>
        <v>0.84429847055979446</v>
      </c>
      <c r="F15" s="3">
        <f t="shared" si="6"/>
        <v>335.43991101673481</v>
      </c>
      <c r="G15" s="3">
        <f>+'[11]Colector Los Avellanos'!$AB$29</f>
        <v>39.680666582451842</v>
      </c>
      <c r="H15" s="3">
        <f t="shared" si="1"/>
        <v>34.932479462647329</v>
      </c>
      <c r="K15" s="56">
        <f t="shared" si="7"/>
        <v>2031</v>
      </c>
      <c r="L15" s="9">
        <f>+'[11]Colector Los Avellanos'!$V$29</f>
        <v>6621.7144956088914</v>
      </c>
      <c r="M15" s="35">
        <f>+'[11]Colector Los Avellanos'!$U$29</f>
        <v>11.916695046703548</v>
      </c>
      <c r="N15" s="44">
        <f t="shared" si="8"/>
        <v>3.1298382166310863</v>
      </c>
      <c r="O15" s="34">
        <f t="shared" si="9"/>
        <v>37.297327573111133</v>
      </c>
      <c r="P15" s="34">
        <f t="shared" si="2"/>
        <v>2.3833390093407099</v>
      </c>
      <c r="Q15" s="34">
        <f t="shared" si="10"/>
        <v>39.680666582451842</v>
      </c>
      <c r="S15" s="57">
        <f t="shared" si="11"/>
        <v>39.680666582451842</v>
      </c>
      <c r="U15" s="46">
        <f t="shared" si="3"/>
        <v>39.680666582451842</v>
      </c>
      <c r="V15" s="46">
        <f t="shared" si="12"/>
        <v>0</v>
      </c>
    </row>
    <row r="16" spans="1:22" x14ac:dyDescent="0.3">
      <c r="B16" s="2">
        <f t="shared" si="4"/>
        <v>2032</v>
      </c>
      <c r="C16" s="3">
        <f t="shared" si="5"/>
        <v>74.613146045099171</v>
      </c>
      <c r="D16" s="3">
        <f t="shared" si="0"/>
        <v>74.613146045099171</v>
      </c>
      <c r="E16" s="3">
        <f t="shared" si="6"/>
        <v>0.84429847055979446</v>
      </c>
      <c r="F16" s="3">
        <f t="shared" si="6"/>
        <v>335.43991101673481</v>
      </c>
      <c r="G16" s="3">
        <f>+'[12]Colector Los Avellanos'!$AB$29</f>
        <v>40.473059184640931</v>
      </c>
      <c r="H16" s="3">
        <f t="shared" si="1"/>
        <v>34.14008686045824</v>
      </c>
      <c r="K16" s="56">
        <f t="shared" si="7"/>
        <v>2032</v>
      </c>
      <c r="L16" s="9">
        <f>+'[12]Colector Los Avellanos'!$V$29</f>
        <v>6673.8274205348935</v>
      </c>
      <c r="M16" s="35">
        <f>+'[12]Colector Los Avellanos'!$U$29</f>
        <v>12.166608348706252</v>
      </c>
      <c r="N16" s="44">
        <f t="shared" si="8"/>
        <v>3.1265687547955525</v>
      </c>
      <c r="O16" s="34">
        <f t="shared" si="9"/>
        <v>38.039737514899677</v>
      </c>
      <c r="P16" s="34">
        <f t="shared" si="2"/>
        <v>2.4333216697412503</v>
      </c>
      <c r="Q16" s="34">
        <f t="shared" si="10"/>
        <v>40.473059184640931</v>
      </c>
      <c r="S16" s="57">
        <f t="shared" si="11"/>
        <v>40.473059184640931</v>
      </c>
      <c r="U16" s="46">
        <f t="shared" si="3"/>
        <v>40.473059184640931</v>
      </c>
      <c r="V16" s="46">
        <f t="shared" si="12"/>
        <v>0</v>
      </c>
    </row>
    <row r="17" spans="2:22" x14ac:dyDescent="0.3">
      <c r="B17" s="2">
        <f t="shared" si="4"/>
        <v>2033</v>
      </c>
      <c r="C17" s="3">
        <f t="shared" si="5"/>
        <v>74.613146045099171</v>
      </c>
      <c r="D17" s="3">
        <f t="shared" si="0"/>
        <v>74.613146045099171</v>
      </c>
      <c r="E17" s="3">
        <f t="shared" si="6"/>
        <v>0.84429847055979446</v>
      </c>
      <c r="F17" s="3">
        <f t="shared" si="6"/>
        <v>335.43991101673481</v>
      </c>
      <c r="G17" s="3">
        <f>+'[13]Colector Los Avellanos'!$AB$29</f>
        <v>41.26684462637504</v>
      </c>
      <c r="H17" s="3">
        <f t="shared" si="1"/>
        <v>33.346301418724131</v>
      </c>
      <c r="K17" s="56">
        <f t="shared" si="7"/>
        <v>2033</v>
      </c>
      <c r="L17" s="9">
        <f>+'[13]Colector Los Avellanos'!$V$29</f>
        <v>6726.2611814103075</v>
      </c>
      <c r="M17" s="35">
        <f>+'[13]Colector Los Avellanos'!$U$29</f>
        <v>12.417422087869639</v>
      </c>
      <c r="N17" s="44">
        <f t="shared" si="8"/>
        <v>3.1233020778675065</v>
      </c>
      <c r="O17" s="34">
        <f t="shared" si="9"/>
        <v>38.783360208801113</v>
      </c>
      <c r="P17" s="34">
        <f t="shared" si="2"/>
        <v>2.4834844175739281</v>
      </c>
      <c r="Q17" s="34">
        <f t="shared" si="10"/>
        <v>41.26684462637504</v>
      </c>
      <c r="S17" s="57">
        <f t="shared" si="11"/>
        <v>41.26684462637504</v>
      </c>
      <c r="U17" s="46">
        <f t="shared" si="3"/>
        <v>41.26684462637504</v>
      </c>
      <c r="V17" s="46">
        <f t="shared" si="12"/>
        <v>0</v>
      </c>
    </row>
    <row r="18" spans="2:22" x14ac:dyDescent="0.3">
      <c r="B18" s="2">
        <f t="shared" si="4"/>
        <v>2034</v>
      </c>
      <c r="C18" s="3">
        <f t="shared" si="5"/>
        <v>74.613146045099171</v>
      </c>
      <c r="D18" s="3">
        <f t="shared" si="0"/>
        <v>74.613146045099171</v>
      </c>
      <c r="E18" s="3">
        <f t="shared" si="6"/>
        <v>0.84429847055979446</v>
      </c>
      <c r="F18" s="3">
        <f t="shared" si="6"/>
        <v>335.43991101673481</v>
      </c>
      <c r="G18" s="3">
        <f>+'[14]Colector Los Avellanos'!$AB$29</f>
        <v>42.068362648906643</v>
      </c>
      <c r="H18" s="3">
        <f t="shared" si="1"/>
        <v>32.544783396192528</v>
      </c>
      <c r="K18" s="56">
        <f t="shared" si="7"/>
        <v>2034</v>
      </c>
      <c r="L18" s="9">
        <f>+'[14]Colector Los Avellanos'!$V$29</f>
        <v>6778.8782771139586</v>
      </c>
      <c r="M18" s="35">
        <f>+'[14]Colector Los Avellanos'!$U$29</f>
        <v>12.671015076087231</v>
      </c>
      <c r="N18" s="44">
        <f t="shared" si="8"/>
        <v>3.1200467678629904</v>
      </c>
      <c r="O18" s="34">
        <f t="shared" si="9"/>
        <v>39.534159633689193</v>
      </c>
      <c r="P18" s="34">
        <f t="shared" si="2"/>
        <v>2.5342030152174466</v>
      </c>
      <c r="Q18" s="34">
        <f t="shared" si="10"/>
        <v>42.068362648906643</v>
      </c>
      <c r="S18" s="57">
        <f t="shared" si="11"/>
        <v>42.068362648906643</v>
      </c>
      <c r="U18" s="46">
        <f t="shared" si="3"/>
        <v>42.068362648906643</v>
      </c>
      <c r="V18" s="46">
        <f t="shared" si="12"/>
        <v>0</v>
      </c>
    </row>
    <row r="19" spans="2:22" x14ac:dyDescent="0.3">
      <c r="B19" s="2">
        <f t="shared" si="4"/>
        <v>2035</v>
      </c>
      <c r="C19" s="3">
        <f t="shared" si="5"/>
        <v>74.613146045099171</v>
      </c>
      <c r="D19" s="3">
        <f t="shared" si="0"/>
        <v>74.613146045099171</v>
      </c>
      <c r="E19" s="3">
        <f t="shared" si="6"/>
        <v>0.84429847055979446</v>
      </c>
      <c r="F19" s="3">
        <f t="shared" si="6"/>
        <v>335.43991101673481</v>
      </c>
      <c r="G19" s="3">
        <f>+'[15]Colector Los Avellanos'!$AB$29</f>
        <v>42.875857863847436</v>
      </c>
      <c r="H19" s="3">
        <f t="shared" si="1"/>
        <v>31.737288181251735</v>
      </c>
      <c r="K19" s="56">
        <f t="shared" si="7"/>
        <v>2035</v>
      </c>
      <c r="L19" s="9">
        <f>+'[15]Colector Los Avellanos'!$V$29</f>
        <v>6831.8620424740811</v>
      </c>
      <c r="M19" s="35">
        <f>+'[15]Colector Los Avellanos'!$U$29</f>
        <v>12.926907684099106</v>
      </c>
      <c r="N19" s="44">
        <f t="shared" si="8"/>
        <v>3.1167915259878729</v>
      </c>
      <c r="O19" s="34">
        <f t="shared" si="9"/>
        <v>40.290476327027612</v>
      </c>
      <c r="P19" s="34">
        <f t="shared" si="2"/>
        <v>2.5853815368198214</v>
      </c>
      <c r="Q19" s="34">
        <f t="shared" si="10"/>
        <v>42.875857863847436</v>
      </c>
      <c r="S19" s="57">
        <f t="shared" si="11"/>
        <v>42.875857863847436</v>
      </c>
      <c r="U19" s="46">
        <f t="shared" si="3"/>
        <v>42.875857863847436</v>
      </c>
      <c r="V19" s="46">
        <f t="shared" si="12"/>
        <v>0</v>
      </c>
    </row>
    <row r="20" spans="2:22" x14ac:dyDescent="0.3">
      <c r="B20" s="2">
        <f t="shared" si="4"/>
        <v>2036</v>
      </c>
      <c r="C20" s="3">
        <f t="shared" si="5"/>
        <v>74.613146045099171</v>
      </c>
      <c r="D20" s="3">
        <f t="shared" si="0"/>
        <v>74.613146045099171</v>
      </c>
      <c r="E20" s="3">
        <f t="shared" si="6"/>
        <v>0.84429847055979446</v>
      </c>
      <c r="F20" s="3">
        <f t="shared" si="6"/>
        <v>335.43991101673481</v>
      </c>
      <c r="G20" s="3">
        <f>+'[16]Colector Los Avellanos'!$AB$29</f>
        <v>43.692613584122626</v>
      </c>
      <c r="H20" s="3">
        <f t="shared" si="1"/>
        <v>30.920532460976546</v>
      </c>
      <c r="K20" s="56">
        <f t="shared" si="7"/>
        <v>2036</v>
      </c>
      <c r="L20" s="9">
        <f>+'[16]Colector Los Avellanos'!$V$29</f>
        <v>6885.0749763694967</v>
      </c>
      <c r="M20" s="35">
        <f>+'[16]Colector Los Avellanos'!$U$29</f>
        <v>13.186063647549439</v>
      </c>
      <c r="N20" s="44">
        <f t="shared" si="8"/>
        <v>3.113544872221413</v>
      </c>
      <c r="O20" s="34">
        <f t="shared" si="9"/>
        <v>41.055400854612735</v>
      </c>
      <c r="P20" s="34">
        <f t="shared" si="2"/>
        <v>2.6372127295098879</v>
      </c>
      <c r="Q20" s="34">
        <f t="shared" si="10"/>
        <v>43.692613584122626</v>
      </c>
      <c r="S20" s="57">
        <f t="shared" si="11"/>
        <v>43.692613584122626</v>
      </c>
      <c r="U20" s="46">
        <f t="shared" si="3"/>
        <v>43.692613584122626</v>
      </c>
      <c r="V20" s="46">
        <f t="shared" si="12"/>
        <v>0</v>
      </c>
    </row>
    <row r="21" spans="2:22" ht="13.8" thickBot="1" x14ac:dyDescent="0.35">
      <c r="B21" s="2">
        <f t="shared" si="4"/>
        <v>2037</v>
      </c>
      <c r="C21" s="3">
        <f t="shared" si="5"/>
        <v>74.613146045099171</v>
      </c>
      <c r="D21" s="3">
        <f t="shared" si="0"/>
        <v>74.613146045099171</v>
      </c>
      <c r="E21" s="3">
        <f t="shared" si="6"/>
        <v>0.84429847055979446</v>
      </c>
      <c r="F21" s="3">
        <f t="shared" si="6"/>
        <v>335.43991101673481</v>
      </c>
      <c r="G21" s="3">
        <f>+'[17]Colector Los Avellanos'!$AB$29</f>
        <v>44.510478120396563</v>
      </c>
      <c r="H21" s="3">
        <f t="shared" si="1"/>
        <v>30.102667924702608</v>
      </c>
      <c r="I21" s="13">
        <f>+G21/G6-1</f>
        <v>0.36577009989757503</v>
      </c>
      <c r="K21" s="58">
        <f t="shared" si="7"/>
        <v>2037</v>
      </c>
      <c r="L21" s="59">
        <f>+'[17]Colector Los Avellanos'!$V$29</f>
        <v>6938.6087462143259</v>
      </c>
      <c r="M21" s="65">
        <f>+'[17]Colector Los Avellanos'!$U$29</f>
        <v>13.446050584604052</v>
      </c>
      <c r="N21" s="61">
        <f t="shared" si="8"/>
        <v>3.110301254657021</v>
      </c>
      <c r="O21" s="60">
        <f t="shared" si="9"/>
        <v>41.821268003475751</v>
      </c>
      <c r="P21" s="60">
        <f t="shared" si="2"/>
        <v>2.6892101169208105</v>
      </c>
      <c r="Q21" s="60">
        <f t="shared" si="10"/>
        <v>44.510478120396563</v>
      </c>
      <c r="R21" s="63"/>
      <c r="S21" s="62">
        <f t="shared" si="11"/>
        <v>44.510478120396563</v>
      </c>
      <c r="U21" s="46">
        <f t="shared" si="3"/>
        <v>44.510478120396563</v>
      </c>
      <c r="V21" s="46">
        <f t="shared" si="12"/>
        <v>0</v>
      </c>
    </row>
    <row r="22" spans="2:22" x14ac:dyDescent="0.3">
      <c r="L22" s="9"/>
      <c r="T22" s="46"/>
      <c r="U22" s="46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V23"/>
  <sheetViews>
    <sheetView showGridLines="0" topLeftCell="B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50</v>
      </c>
      <c r="E2" s="6" t="s">
        <v>7</v>
      </c>
      <c r="F2" s="7">
        <f>+'[17]Colector Domeyko'!$N$22</f>
        <v>394.13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190</v>
      </c>
      <c r="O3" s="12" t="s">
        <v>191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Escobar Phill II'!B6</f>
        <v>2022</v>
      </c>
      <c r="C6" s="3">
        <f>+SUMPRODUCT('[17]Colector Domeyko'!$AL$17:$AL$22,'[17]Colector Domeyko'!$M$17:$M$22)/F2</f>
        <v>115.17872730379531</v>
      </c>
      <c r="D6" s="3">
        <f t="shared" ref="D6:D21" si="0">+C6</f>
        <v>115.17872730379531</v>
      </c>
      <c r="E6" s="3">
        <f>D6/(0.25*PI()*(F6/1000)^2)/1000</f>
        <v>0.81650808465141766</v>
      </c>
      <c r="F6" s="3">
        <f>+SUMPRODUCT('[17]Colector Domeyko'!$F$17:$F$22,'[17]Colector Domeyko'!$M$17:$M$22)/F2</f>
        <v>423.80000000000007</v>
      </c>
      <c r="G6" s="3">
        <f>+'[2]Colector Domeyko'!$AB$22</f>
        <v>62.862083750790688</v>
      </c>
      <c r="H6" s="3">
        <f t="shared" ref="H6:H21" si="1">+D6-G6</f>
        <v>52.316643553004624</v>
      </c>
      <c r="K6" s="56">
        <f>+B6</f>
        <v>2022</v>
      </c>
      <c r="L6" s="9">
        <f>+'[2]Colector Domeyko'!$V$22</f>
        <v>7285.9547977629281</v>
      </c>
      <c r="M6" s="34">
        <f>+'[2]Colector Domeyko'!$U$22</f>
        <v>17.799965663844766</v>
      </c>
      <c r="N6" s="44">
        <f>1+(14/(4+(SQRT(L6/1000))))</f>
        <v>3.0897859253661397</v>
      </c>
      <c r="O6" s="34">
        <f>+N6*M6</f>
        <v>54.998083380148117</v>
      </c>
      <c r="P6" s="34">
        <f>+M6*$P$4</f>
        <v>3.5599931327689536</v>
      </c>
      <c r="Q6" s="34">
        <f>+P6+O6</f>
        <v>58.558076512917069</v>
      </c>
      <c r="R6" s="34">
        <f>+'[2]Colector Domeyko'!$AA$22</f>
        <v>4.3040072378736172</v>
      </c>
      <c r="S6" s="57">
        <f>+Q6+R6</f>
        <v>62.862083750790688</v>
      </c>
      <c r="U6" s="46">
        <f>+G6</f>
        <v>62.862083750790688</v>
      </c>
      <c r="V6" s="34">
        <f>+U6-S6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115.17872730379531</v>
      </c>
      <c r="D7" s="3">
        <f t="shared" si="0"/>
        <v>115.17872730379531</v>
      </c>
      <c r="E7" s="3">
        <f t="shared" ref="E7:F21" si="4">+E6</f>
        <v>0.81650808465141766</v>
      </c>
      <c r="F7" s="3">
        <f t="shared" si="4"/>
        <v>423.80000000000007</v>
      </c>
      <c r="G7" s="3">
        <f>+'[3]Colector Domeyko'!$AB$22</f>
        <v>64.683390274814514</v>
      </c>
      <c r="H7" s="3">
        <f t="shared" si="1"/>
        <v>50.495337028980799</v>
      </c>
      <c r="K7" s="56">
        <f t="shared" ref="K7:K21" si="5">+B7</f>
        <v>2023</v>
      </c>
      <c r="L7" s="9">
        <f>+'[3]Colector Domeyko'!$V$22</f>
        <v>7344.9516584679241</v>
      </c>
      <c r="M7" s="34">
        <f>+'[3]Colector Domeyko'!$U$22</f>
        <v>18.361605748772416</v>
      </c>
      <c r="N7" s="44">
        <f t="shared" ref="N7:N21" si="6">1+(14/(4+(SQRT(L7/1000))))</f>
        <v>3.086389295054492</v>
      </c>
      <c r="O7" s="34">
        <f t="shared" ref="O7:O21" si="7">+N7*M7</f>
        <v>56.671063423022204</v>
      </c>
      <c r="P7" s="34">
        <f t="shared" ref="P7:P21" si="8">+M7*$P$4</f>
        <v>3.6723211497544832</v>
      </c>
      <c r="Q7" s="34">
        <f t="shared" ref="Q7:Q21" si="9">+P7+O7</f>
        <v>60.343384572776685</v>
      </c>
      <c r="R7" s="34">
        <f>+'[3]Colector Domeyko'!$AA$22</f>
        <v>4.3400057020378275</v>
      </c>
      <c r="S7" s="57">
        <f t="shared" ref="S7:S21" si="10">+Q7+R7</f>
        <v>64.683390274814514</v>
      </c>
      <c r="U7" s="46">
        <f t="shared" ref="U7:U21" si="11">+G7</f>
        <v>64.683390274814514</v>
      </c>
      <c r="V7" s="34">
        <f t="shared" ref="V7:V21" si="12">+U7-S7</f>
        <v>0</v>
      </c>
    </row>
    <row r="8" spans="1:22" x14ac:dyDescent="0.3">
      <c r="B8" s="2">
        <f t="shared" si="2"/>
        <v>2024</v>
      </c>
      <c r="C8" s="3">
        <f t="shared" si="3"/>
        <v>115.17872730379531</v>
      </c>
      <c r="D8" s="3">
        <f t="shared" si="0"/>
        <v>115.17872730379531</v>
      </c>
      <c r="E8" s="3">
        <f t="shared" si="4"/>
        <v>0.81650808465141766</v>
      </c>
      <c r="F8" s="3">
        <f t="shared" si="4"/>
        <v>423.80000000000007</v>
      </c>
      <c r="G8" s="3">
        <f>+'[4]Colector Domeyko'!$AB$22</f>
        <v>66.043921681193851</v>
      </c>
      <c r="H8" s="3">
        <f t="shared" si="1"/>
        <v>49.134805622601462</v>
      </c>
      <c r="K8" s="56">
        <f t="shared" si="5"/>
        <v>2024</v>
      </c>
      <c r="L8" s="9">
        <f>+'[4]Colector Domeyko'!$V$22</f>
        <v>7404.2193954846971</v>
      </c>
      <c r="M8" s="34">
        <f>+'[4]Colector Domeyko'!$U$22</f>
        <v>18.786259010334362</v>
      </c>
      <c r="N8" s="44">
        <f t="shared" si="6"/>
        <v>3.0830018100986059</v>
      </c>
      <c r="O8" s="34">
        <f t="shared" si="7"/>
        <v>57.918070533842084</v>
      </c>
      <c r="P8" s="34">
        <f t="shared" si="8"/>
        <v>3.7572518020668726</v>
      </c>
      <c r="Q8" s="34">
        <f t="shared" si="9"/>
        <v>61.675322335908959</v>
      </c>
      <c r="R8" s="34">
        <f>+'[4]Colector Domeyko'!$AA$22</f>
        <v>4.3685993452848875</v>
      </c>
      <c r="S8" s="57">
        <f t="shared" si="10"/>
        <v>66.043921681193851</v>
      </c>
      <c r="U8" s="46">
        <f t="shared" si="11"/>
        <v>66.043921681193851</v>
      </c>
      <c r="V8" s="34">
        <f t="shared" si="12"/>
        <v>0</v>
      </c>
    </row>
    <row r="9" spans="1:22" x14ac:dyDescent="0.3">
      <c r="B9" s="2">
        <f t="shared" si="2"/>
        <v>2025</v>
      </c>
      <c r="C9" s="3">
        <f t="shared" si="3"/>
        <v>115.17872730379531</v>
      </c>
      <c r="D9" s="3">
        <f t="shared" si="0"/>
        <v>115.17872730379531</v>
      </c>
      <c r="E9" s="3">
        <f t="shared" si="4"/>
        <v>0.81650808465141766</v>
      </c>
      <c r="F9" s="3">
        <f t="shared" si="4"/>
        <v>423.80000000000007</v>
      </c>
      <c r="G9" s="3">
        <f>+'[5]Colector Domeyko'!$AB$22</f>
        <v>67.408484682708604</v>
      </c>
      <c r="H9" s="3">
        <f t="shared" si="1"/>
        <v>47.770242621086709</v>
      </c>
      <c r="K9" s="56">
        <f t="shared" si="5"/>
        <v>2025</v>
      </c>
      <c r="L9" s="9">
        <f>+'[5]Colector Domeyko'!$V$22</f>
        <v>7463.7038335508914</v>
      </c>
      <c r="M9" s="34">
        <f>+'[5]Colector Domeyko'!$U$22</f>
        <v>19.212819428629849</v>
      </c>
      <c r="N9" s="44">
        <f t="shared" si="6"/>
        <v>3.0796265205218445</v>
      </c>
      <c r="O9" s="34">
        <f t="shared" si="7"/>
        <v>59.168308246405836</v>
      </c>
      <c r="P9" s="34">
        <f t="shared" si="8"/>
        <v>3.8425638857259701</v>
      </c>
      <c r="Q9" s="34">
        <f t="shared" si="9"/>
        <v>63.010872132131809</v>
      </c>
      <c r="R9" s="34">
        <f>+'[5]Colector Domeyko'!$AA$22</f>
        <v>4.3976125505768024</v>
      </c>
      <c r="S9" s="57">
        <f t="shared" si="10"/>
        <v>67.408484682708604</v>
      </c>
      <c r="U9" s="46">
        <f t="shared" si="11"/>
        <v>67.408484682708604</v>
      </c>
      <c r="V9" s="34">
        <f t="shared" si="12"/>
        <v>0</v>
      </c>
    </row>
    <row r="10" spans="1:22" x14ac:dyDescent="0.3">
      <c r="B10" s="2">
        <f t="shared" si="2"/>
        <v>2026</v>
      </c>
      <c r="C10" s="3">
        <f t="shared" si="3"/>
        <v>115.17872730379531</v>
      </c>
      <c r="D10" s="3">
        <f t="shared" si="0"/>
        <v>115.17872730379531</v>
      </c>
      <c r="E10" s="3">
        <f t="shared" si="4"/>
        <v>0.81650808465141766</v>
      </c>
      <c r="F10" s="3">
        <f t="shared" si="4"/>
        <v>423.80000000000007</v>
      </c>
      <c r="G10" s="3">
        <f>+'[6]Colector Domeyko'!$AB$22</f>
        <v>68.787258011514027</v>
      </c>
      <c r="H10" s="3">
        <f t="shared" si="1"/>
        <v>46.391469292281286</v>
      </c>
      <c r="K10" s="56">
        <f t="shared" si="5"/>
        <v>2026</v>
      </c>
      <c r="L10" s="9">
        <f>+'[6]Colector Domeyko'!$V$22</f>
        <v>7523.5133231912168</v>
      </c>
      <c r="M10" s="34">
        <f>+'[6]Colector Domeyko'!$U$22</f>
        <v>19.644375224597805</v>
      </c>
      <c r="N10" s="44">
        <f t="shared" si="6"/>
        <v>3.0762572650694904</v>
      </c>
      <c r="O10" s="34">
        <f t="shared" si="7"/>
        <v>60.431152002420099</v>
      </c>
      <c r="P10" s="34">
        <f t="shared" si="8"/>
        <v>3.9288750449195611</v>
      </c>
      <c r="Q10" s="34">
        <f t="shared" si="9"/>
        <v>64.360027047339656</v>
      </c>
      <c r="R10" s="34">
        <f>+'[6]Colector Domeyko'!$AA$22</f>
        <v>4.427230964174373</v>
      </c>
      <c r="S10" s="57">
        <f t="shared" si="10"/>
        <v>68.787258011514027</v>
      </c>
      <c r="U10" s="46">
        <f t="shared" si="11"/>
        <v>68.787258011514027</v>
      </c>
      <c r="V10" s="34">
        <f t="shared" si="12"/>
        <v>0</v>
      </c>
    </row>
    <row r="11" spans="1:22" x14ac:dyDescent="0.3">
      <c r="B11" s="2">
        <f t="shared" si="2"/>
        <v>2027</v>
      </c>
      <c r="C11" s="3">
        <f t="shared" si="3"/>
        <v>115.17872730379531</v>
      </c>
      <c r="D11" s="3">
        <f t="shared" si="0"/>
        <v>115.17872730379531</v>
      </c>
      <c r="E11" s="3">
        <f t="shared" si="4"/>
        <v>0.81650808465141766</v>
      </c>
      <c r="F11" s="3">
        <f t="shared" si="4"/>
        <v>423.80000000000007</v>
      </c>
      <c r="G11" s="3">
        <f>+'[7]Colector Domeyko'!$AB$22</f>
        <v>70.177673747898069</v>
      </c>
      <c r="H11" s="3">
        <f t="shared" si="1"/>
        <v>45.001053555897244</v>
      </c>
      <c r="K11" s="56">
        <f t="shared" si="5"/>
        <v>2027</v>
      </c>
      <c r="L11" s="9">
        <f>+'[7]Colector Domeyko'!$V$22</f>
        <v>7583.5936891433212</v>
      </c>
      <c r="M11" s="34">
        <f>+'[7]Colector Domeyko'!$U$22</f>
        <v>20.08015065316922</v>
      </c>
      <c r="N11" s="44">
        <f t="shared" si="6"/>
        <v>3.0728971151563793</v>
      </c>
      <c r="O11" s="34">
        <f t="shared" si="7"/>
        <v>61.704237014029182</v>
      </c>
      <c r="P11" s="34">
        <f t="shared" si="8"/>
        <v>4.016030130633844</v>
      </c>
      <c r="Q11" s="34">
        <f t="shared" si="9"/>
        <v>65.720267144663026</v>
      </c>
      <c r="R11" s="34">
        <f>+'[7]Colector Domeyko'!$AA$22</f>
        <v>4.457406603235043</v>
      </c>
      <c r="S11" s="57">
        <f t="shared" si="10"/>
        <v>70.177673747898069</v>
      </c>
      <c r="U11" s="46">
        <f t="shared" si="11"/>
        <v>70.177673747898069</v>
      </c>
      <c r="V11" s="34">
        <f t="shared" si="12"/>
        <v>0</v>
      </c>
    </row>
    <row r="12" spans="1:22" x14ac:dyDescent="0.3">
      <c r="B12" s="2">
        <f t="shared" si="2"/>
        <v>2028</v>
      </c>
      <c r="C12" s="3">
        <f t="shared" si="3"/>
        <v>115.17872730379531</v>
      </c>
      <c r="D12" s="3">
        <f t="shared" si="0"/>
        <v>115.17872730379531</v>
      </c>
      <c r="E12" s="3">
        <f t="shared" si="4"/>
        <v>0.81650808465141766</v>
      </c>
      <c r="F12" s="3">
        <f t="shared" si="4"/>
        <v>423.80000000000007</v>
      </c>
      <c r="G12" s="3">
        <f>+'[8]Colector Domeyko'!$AB$22</f>
        <v>71.585030015797045</v>
      </c>
      <c r="H12" s="3">
        <f t="shared" si="1"/>
        <v>43.593697287998268</v>
      </c>
      <c r="K12" s="56">
        <f t="shared" si="5"/>
        <v>2028</v>
      </c>
      <c r="L12" s="9">
        <f>+'[8]Colector Domeyko'!$V$22</f>
        <v>7643.9991066695566</v>
      </c>
      <c r="M12" s="34">
        <f>+'[8]Colector Domeyko'!$U$22</f>
        <v>20.521763516350571</v>
      </c>
      <c r="N12" s="44">
        <f t="shared" si="6"/>
        <v>3.0695430592453063</v>
      </c>
      <c r="O12" s="34">
        <f t="shared" si="7"/>
        <v>62.992436765087447</v>
      </c>
      <c r="P12" s="34">
        <f t="shared" si="8"/>
        <v>4.1043527032701146</v>
      </c>
      <c r="Q12" s="34">
        <f t="shared" si="9"/>
        <v>67.096789468357557</v>
      </c>
      <c r="R12" s="34">
        <f>+'[8]Colector Domeyko'!$AA$22</f>
        <v>4.4882405474394886</v>
      </c>
      <c r="S12" s="57">
        <f t="shared" si="10"/>
        <v>71.585030015797045</v>
      </c>
      <c r="U12" s="46">
        <f t="shared" si="11"/>
        <v>71.585030015797045</v>
      </c>
      <c r="V12" s="34">
        <f t="shared" si="12"/>
        <v>0</v>
      </c>
    </row>
    <row r="13" spans="1:22" x14ac:dyDescent="0.3">
      <c r="B13" s="2">
        <f t="shared" si="2"/>
        <v>2029</v>
      </c>
      <c r="C13" s="3">
        <f t="shared" si="3"/>
        <v>115.17872730379531</v>
      </c>
      <c r="D13" s="3">
        <f t="shared" si="0"/>
        <v>115.17872730379531</v>
      </c>
      <c r="E13" s="3">
        <f t="shared" si="4"/>
        <v>0.81650808465141766</v>
      </c>
      <c r="F13" s="3">
        <f t="shared" si="4"/>
        <v>423.80000000000007</v>
      </c>
      <c r="G13" s="3">
        <f>+'[9]Colector Domeyko'!$AB$22</f>
        <v>72.995899505263822</v>
      </c>
      <c r="H13" s="3">
        <f t="shared" si="1"/>
        <v>42.182827798531491</v>
      </c>
      <c r="K13" s="56">
        <f t="shared" si="5"/>
        <v>2029</v>
      </c>
      <c r="L13" s="9">
        <f>+'[9]Colector Domeyko'!$V$22</f>
        <v>7704.6212252452133</v>
      </c>
      <c r="M13" s="34">
        <f>+'[9]Colector Domeyko'!$U$22</f>
        <v>20.965156075766096</v>
      </c>
      <c r="N13" s="44">
        <f t="shared" si="6"/>
        <v>3.0662010987924302</v>
      </c>
      <c r="O13" s="34">
        <f t="shared" si="7"/>
        <v>64.283384595868796</v>
      </c>
      <c r="P13" s="34">
        <f t="shared" si="8"/>
        <v>4.1930312151532192</v>
      </c>
      <c r="Q13" s="34">
        <f t="shared" si="9"/>
        <v>68.476415811022008</v>
      </c>
      <c r="R13" s="34">
        <f>+'[9]Colector Domeyko'!$AA$22</f>
        <v>4.5194836942418144</v>
      </c>
      <c r="S13" s="57">
        <f t="shared" si="10"/>
        <v>72.995899505263822</v>
      </c>
      <c r="U13" s="46">
        <f t="shared" si="11"/>
        <v>72.995899505263822</v>
      </c>
      <c r="V13" s="34">
        <f t="shared" si="12"/>
        <v>0</v>
      </c>
    </row>
    <row r="14" spans="1:22" x14ac:dyDescent="0.3">
      <c r="B14" s="2">
        <f t="shared" si="2"/>
        <v>2030</v>
      </c>
      <c r="C14" s="3">
        <f t="shared" si="3"/>
        <v>115.17872730379531</v>
      </c>
      <c r="D14" s="3">
        <f t="shared" si="0"/>
        <v>115.17872730379531</v>
      </c>
      <c r="E14" s="3">
        <f t="shared" si="4"/>
        <v>0.81650808465141766</v>
      </c>
      <c r="F14" s="3">
        <f t="shared" si="4"/>
        <v>423.80000000000007</v>
      </c>
      <c r="G14" s="3">
        <f>+'[10]Colector Domeyko'!$AB$22</f>
        <v>74.421017939618594</v>
      </c>
      <c r="H14" s="3">
        <f t="shared" si="1"/>
        <v>40.757709364176719</v>
      </c>
      <c r="K14" s="56">
        <f t="shared" si="5"/>
        <v>2030</v>
      </c>
      <c r="L14" s="9">
        <f>+'[10]Colector Domeyko'!$V$22</f>
        <v>7765.5683953950029</v>
      </c>
      <c r="M14" s="34">
        <f>+'[10]Colector Domeyko'!$U$22</f>
        <v>21.413596182466506</v>
      </c>
      <c r="N14" s="44">
        <f t="shared" si="6"/>
        <v>3.0628652451863361</v>
      </c>
      <c r="O14" s="34">
        <f t="shared" si="7"/>
        <v>65.586959521731458</v>
      </c>
      <c r="P14" s="34">
        <f t="shared" si="8"/>
        <v>4.2827192364933016</v>
      </c>
      <c r="Q14" s="34">
        <f t="shared" si="9"/>
        <v>69.869678758224765</v>
      </c>
      <c r="R14" s="34">
        <f>+'[10]Colector Domeyko'!$AA$22</f>
        <v>4.5513391813938213</v>
      </c>
      <c r="S14" s="57">
        <f t="shared" si="10"/>
        <v>74.421017939618594</v>
      </c>
      <c r="U14" s="46">
        <f t="shared" si="11"/>
        <v>74.421017939618594</v>
      </c>
      <c r="V14" s="34">
        <f t="shared" si="12"/>
        <v>0</v>
      </c>
    </row>
    <row r="15" spans="1:22" x14ac:dyDescent="0.3">
      <c r="B15" s="2">
        <f t="shared" si="2"/>
        <v>2031</v>
      </c>
      <c r="C15" s="3">
        <f t="shared" si="3"/>
        <v>115.17872730379531</v>
      </c>
      <c r="D15" s="3">
        <f t="shared" si="0"/>
        <v>115.17872730379531</v>
      </c>
      <c r="E15" s="3">
        <f t="shared" si="4"/>
        <v>0.81650808465141766</v>
      </c>
      <c r="F15" s="3">
        <f t="shared" si="4"/>
        <v>423.80000000000007</v>
      </c>
      <c r="G15" s="3">
        <f>+'[11]Colector Domeyko'!$AB$22</f>
        <v>75.857596733500827</v>
      </c>
      <c r="H15" s="3">
        <f t="shared" si="1"/>
        <v>39.321130570294486</v>
      </c>
      <c r="K15" s="56">
        <f t="shared" si="5"/>
        <v>2031</v>
      </c>
      <c r="L15" s="9">
        <f>+'[11]Colector Domeyko'!$V$22</f>
        <v>7826.8406171189235</v>
      </c>
      <c r="M15" s="34">
        <f>+'[11]Colector Domeyko'!$U$22</f>
        <v>21.866255921770374</v>
      </c>
      <c r="N15" s="44">
        <f t="shared" si="6"/>
        <v>3.0595355461943923</v>
      </c>
      <c r="O15" s="34">
        <f t="shared" si="7"/>
        <v>66.90058725484009</v>
      </c>
      <c r="P15" s="34">
        <f t="shared" si="8"/>
        <v>4.3732511843540749</v>
      </c>
      <c r="Q15" s="34">
        <f t="shared" si="9"/>
        <v>71.273838439194165</v>
      </c>
      <c r="R15" s="34">
        <f>+'[11]Colector Domeyko'!$AA$22</f>
        <v>4.5837582943066568</v>
      </c>
      <c r="S15" s="57">
        <f t="shared" si="10"/>
        <v>75.857596733500827</v>
      </c>
      <c r="U15" s="46">
        <f t="shared" si="11"/>
        <v>75.857596733500827</v>
      </c>
      <c r="V15" s="34">
        <f t="shared" si="12"/>
        <v>0</v>
      </c>
    </row>
    <row r="16" spans="1:22" x14ac:dyDescent="0.3">
      <c r="B16" s="2">
        <f t="shared" si="2"/>
        <v>2032</v>
      </c>
      <c r="C16" s="3">
        <f t="shared" si="3"/>
        <v>115.17872730379531</v>
      </c>
      <c r="D16" s="3">
        <f t="shared" si="0"/>
        <v>115.17872730379531</v>
      </c>
      <c r="E16" s="3">
        <f t="shared" si="4"/>
        <v>0.81650808465141766</v>
      </c>
      <c r="F16" s="3">
        <f t="shared" si="4"/>
        <v>423.80000000000007</v>
      </c>
      <c r="G16" s="3">
        <f>+'[12]Colector Domeyko'!$AB$22</f>
        <v>77.311220984880237</v>
      </c>
      <c r="H16" s="3">
        <f t="shared" si="1"/>
        <v>37.867506318915076</v>
      </c>
      <c r="K16" s="56">
        <f t="shared" si="5"/>
        <v>2032</v>
      </c>
      <c r="L16" s="9">
        <f>+'[12]Colector Domeyko'!$V$22</f>
        <v>7888.437890416978</v>
      </c>
      <c r="M16" s="34">
        <f>+'[12]Colector Domeyko'!$U$22</f>
        <v>22.324828386571124</v>
      </c>
      <c r="N16" s="44">
        <f t="shared" si="6"/>
        <v>3.0562120480637422</v>
      </c>
      <c r="O16" s="34">
        <f t="shared" si="7"/>
        <v>68.229409485994111</v>
      </c>
      <c r="P16" s="34">
        <f t="shared" si="8"/>
        <v>4.4649656773142246</v>
      </c>
      <c r="Q16" s="34">
        <f t="shared" si="9"/>
        <v>72.694375163308337</v>
      </c>
      <c r="R16" s="34">
        <f>+'[12]Colector Domeyko'!$AA$22</f>
        <v>4.616845821571907</v>
      </c>
      <c r="S16" s="57">
        <f t="shared" si="10"/>
        <v>77.311220984880237</v>
      </c>
      <c r="U16" s="46">
        <f t="shared" si="11"/>
        <v>77.311220984880237</v>
      </c>
      <c r="V16" s="34">
        <f t="shared" si="12"/>
        <v>0</v>
      </c>
    </row>
    <row r="17" spans="2:22" x14ac:dyDescent="0.3">
      <c r="B17" s="2">
        <f t="shared" si="2"/>
        <v>2033</v>
      </c>
      <c r="C17" s="3">
        <f t="shared" si="3"/>
        <v>115.17872730379531</v>
      </c>
      <c r="D17" s="3">
        <f t="shared" si="0"/>
        <v>115.17872730379531</v>
      </c>
      <c r="E17" s="3">
        <f t="shared" si="4"/>
        <v>0.81650808465141766</v>
      </c>
      <c r="F17" s="3">
        <f t="shared" si="4"/>
        <v>423.80000000000007</v>
      </c>
      <c r="G17" s="3">
        <f>+'[13]Colector Domeyko'!$AB$22</f>
        <v>78.767659558534575</v>
      </c>
      <c r="H17" s="3">
        <f t="shared" si="1"/>
        <v>36.411067745260738</v>
      </c>
      <c r="K17" s="56">
        <f t="shared" si="5"/>
        <v>2033</v>
      </c>
      <c r="L17" s="9">
        <f>+'[13]Colector Domeyko'!$V$22</f>
        <v>7950.4143905515184</v>
      </c>
      <c r="M17" s="34">
        <f>+'[13]Colector Domeyko'!$U$22</f>
        <v>22.785053087106689</v>
      </c>
      <c r="N17" s="44">
        <f t="shared" si="6"/>
        <v>3.0528919036635664</v>
      </c>
      <c r="O17" s="34">
        <f t="shared" si="7"/>
        <v>69.560304094172565</v>
      </c>
      <c r="P17" s="34">
        <f t="shared" si="8"/>
        <v>4.5570106174213381</v>
      </c>
      <c r="Q17" s="34">
        <f t="shared" si="9"/>
        <v>74.117314711593906</v>
      </c>
      <c r="R17" s="34">
        <f>+'[13]Colector Domeyko'!$AA$22</f>
        <v>4.6503448469406701</v>
      </c>
      <c r="S17" s="57">
        <f t="shared" si="10"/>
        <v>78.767659558534575</v>
      </c>
      <c r="U17" s="46">
        <f t="shared" si="11"/>
        <v>78.767659558534575</v>
      </c>
      <c r="V17" s="34">
        <f t="shared" si="12"/>
        <v>0</v>
      </c>
    </row>
    <row r="18" spans="2:22" x14ac:dyDescent="0.3">
      <c r="B18" s="2">
        <f t="shared" si="2"/>
        <v>2034</v>
      </c>
      <c r="C18" s="3">
        <f t="shared" si="3"/>
        <v>115.17872730379531</v>
      </c>
      <c r="D18" s="3">
        <f t="shared" si="0"/>
        <v>115.17872730379531</v>
      </c>
      <c r="E18" s="3">
        <f t="shared" si="4"/>
        <v>0.81650808465141766</v>
      </c>
      <c r="F18" s="3">
        <f t="shared" si="4"/>
        <v>423.80000000000007</v>
      </c>
      <c r="G18" s="3">
        <f>+'[14]Colector Domeyko'!$AB$22</f>
        <v>80.238505198102857</v>
      </c>
      <c r="H18" s="3">
        <f t="shared" si="1"/>
        <v>34.940222105692456</v>
      </c>
      <c r="K18" s="56">
        <f t="shared" si="5"/>
        <v>2034</v>
      </c>
      <c r="L18" s="9">
        <f>+'[14]Colector Domeyko'!$V$22</f>
        <v>8012.607591735481</v>
      </c>
      <c r="M18" s="34">
        <f>+'[14]Colector Domeyko'!$U$22</f>
        <v>23.25037750453955</v>
      </c>
      <c r="N18" s="44">
        <f t="shared" si="6"/>
        <v>3.0495838319609767</v>
      </c>
      <c r="O18" s="34">
        <f t="shared" si="7"/>
        <v>70.903975324833013</v>
      </c>
      <c r="P18" s="34">
        <f t="shared" si="8"/>
        <v>4.65007550090791</v>
      </c>
      <c r="Q18" s="34">
        <f t="shared" si="9"/>
        <v>75.554050825740916</v>
      </c>
      <c r="R18" s="34">
        <f>+'[14]Colector Domeyko'!$AA$22</f>
        <v>4.6844543723619383</v>
      </c>
      <c r="S18" s="57">
        <f t="shared" si="10"/>
        <v>80.238505198102857</v>
      </c>
      <c r="U18" s="46">
        <f t="shared" si="11"/>
        <v>80.238505198102857</v>
      </c>
      <c r="V18" s="34">
        <f t="shared" si="12"/>
        <v>0</v>
      </c>
    </row>
    <row r="19" spans="2:22" x14ac:dyDescent="0.3">
      <c r="B19" s="2">
        <f t="shared" si="2"/>
        <v>2035</v>
      </c>
      <c r="C19" s="3">
        <f t="shared" si="3"/>
        <v>115.17872730379531</v>
      </c>
      <c r="D19" s="3">
        <f t="shared" si="0"/>
        <v>115.17872730379531</v>
      </c>
      <c r="E19" s="3">
        <f t="shared" si="4"/>
        <v>0.81650808465141766</v>
      </c>
      <c r="F19" s="3">
        <f t="shared" si="4"/>
        <v>423.80000000000007</v>
      </c>
      <c r="G19" s="3">
        <f>+'[15]Colector Domeyko'!$AB$22</f>
        <v>81.720558851695984</v>
      </c>
      <c r="H19" s="3">
        <f t="shared" si="1"/>
        <v>33.458168452099329</v>
      </c>
      <c r="K19" s="56">
        <f t="shared" si="5"/>
        <v>2035</v>
      </c>
      <c r="L19" s="9">
        <f>+'[15]Colector Domeyko'!$V$22</f>
        <v>8075.2341950182872</v>
      </c>
      <c r="M19" s="34">
        <f>+'[15]Colector Domeyko'!$U$22</f>
        <v>23.719921554575869</v>
      </c>
      <c r="N19" s="44">
        <f t="shared" si="6"/>
        <v>3.0462763481732162</v>
      </c>
      <c r="O19" s="34">
        <f t="shared" si="7"/>
        <v>72.257436012228538</v>
      </c>
      <c r="P19" s="34">
        <f t="shared" si="8"/>
        <v>4.7439843109151738</v>
      </c>
      <c r="Q19" s="34">
        <f t="shared" si="9"/>
        <v>77.001420323143719</v>
      </c>
      <c r="R19" s="34">
        <f>+'[15]Colector Domeyko'!$AA$22</f>
        <v>4.7191385285522607</v>
      </c>
      <c r="S19" s="57">
        <f t="shared" si="10"/>
        <v>81.720558851695984</v>
      </c>
      <c r="U19" s="46">
        <f t="shared" si="11"/>
        <v>81.720558851695984</v>
      </c>
      <c r="V19" s="34">
        <f t="shared" si="12"/>
        <v>0</v>
      </c>
    </row>
    <row r="20" spans="2:22" x14ac:dyDescent="0.3">
      <c r="B20" s="2">
        <f t="shared" si="2"/>
        <v>2036</v>
      </c>
      <c r="C20" s="3">
        <f t="shared" si="3"/>
        <v>115.17872730379531</v>
      </c>
      <c r="D20" s="3">
        <f t="shared" si="0"/>
        <v>115.17872730379531</v>
      </c>
      <c r="E20" s="3">
        <f t="shared" si="4"/>
        <v>0.81650808465141766</v>
      </c>
      <c r="F20" s="3">
        <f t="shared" si="4"/>
        <v>423.80000000000007</v>
      </c>
      <c r="G20" s="3">
        <f>+'[16]Colector Domeyko'!$AB$22</f>
        <v>83.219822923641573</v>
      </c>
      <c r="H20" s="3">
        <f t="shared" si="1"/>
        <v>31.95890438015374</v>
      </c>
      <c r="K20" s="56">
        <f t="shared" si="5"/>
        <v>2036</v>
      </c>
      <c r="L20" s="9">
        <f>+'[16]Colector Domeyko'!$V$22</f>
        <v>8138.1316746128705</v>
      </c>
      <c r="M20" s="34">
        <f>+'[16]Colector Domeyko'!$U$22</f>
        <v>24.195453620996037</v>
      </c>
      <c r="N20" s="44">
        <f t="shared" si="6"/>
        <v>3.0429781068244046</v>
      </c>
      <c r="O20" s="34">
        <f t="shared" si="7"/>
        <v>73.626235653376213</v>
      </c>
      <c r="P20" s="34">
        <f t="shared" si="8"/>
        <v>4.8390907241992078</v>
      </c>
      <c r="Q20" s="34">
        <f t="shared" si="9"/>
        <v>78.465326377575423</v>
      </c>
      <c r="R20" s="34">
        <f>+'[16]Colector Domeyko'!$AA$22</f>
        <v>4.7544965460661528</v>
      </c>
      <c r="S20" s="57">
        <f t="shared" si="10"/>
        <v>83.219822923641573</v>
      </c>
      <c r="U20" s="46">
        <f t="shared" si="11"/>
        <v>83.219822923641573</v>
      </c>
      <c r="V20" s="34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115.17872730379531</v>
      </c>
      <c r="D21" s="3">
        <f t="shared" si="0"/>
        <v>115.17872730379531</v>
      </c>
      <c r="E21" s="3">
        <f t="shared" si="4"/>
        <v>0.81650808465141766</v>
      </c>
      <c r="F21" s="3">
        <f t="shared" si="4"/>
        <v>423.80000000000007</v>
      </c>
      <c r="G21" s="3">
        <f>+'[17]Colector Domeyko'!$AB$22</f>
        <v>84.721379159512722</v>
      </c>
      <c r="H21" s="3">
        <f t="shared" si="1"/>
        <v>30.457348144282591</v>
      </c>
      <c r="I21" s="13">
        <f>+G21/G6-1</f>
        <v>0.34773418417659574</v>
      </c>
      <c r="K21" s="58">
        <f t="shared" si="5"/>
        <v>2037</v>
      </c>
      <c r="L21" s="59">
        <f>+'[17]Colector Domeyko'!$V$22</f>
        <v>8201.4083810439406</v>
      </c>
      <c r="M21" s="60">
        <f>+'[17]Colector Domeyko'!$U$22</f>
        <v>24.672510462651637</v>
      </c>
      <c r="N21" s="61">
        <f t="shared" si="6"/>
        <v>3.0396834648984186</v>
      </c>
      <c r="O21" s="60">
        <f t="shared" si="7"/>
        <v>74.996622090855411</v>
      </c>
      <c r="P21" s="60">
        <f t="shared" si="8"/>
        <v>4.9345020925303276</v>
      </c>
      <c r="Q21" s="60">
        <f t="shared" si="9"/>
        <v>79.931124183385734</v>
      </c>
      <c r="R21" s="60">
        <f>+'[17]Colector Domeyko'!$AA$22</f>
        <v>4.7902549761269819</v>
      </c>
      <c r="S21" s="62">
        <f t="shared" si="10"/>
        <v>84.721379159512722</v>
      </c>
      <c r="U21" s="46">
        <f t="shared" si="11"/>
        <v>84.721379159512722</v>
      </c>
      <c r="V21" s="34">
        <f t="shared" si="12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49</v>
      </c>
      <c r="E2" s="6" t="s">
        <v>7</v>
      </c>
      <c r="F2" s="7">
        <f>+SUM('[17]Colector Escobar Phillipi'!$M$20:$M$30)</f>
        <v>844.77</v>
      </c>
      <c r="G2" s="8" t="s">
        <v>8</v>
      </c>
      <c r="I2" s="16" t="s">
        <v>65</v>
      </c>
      <c r="J2" s="17">
        <v>843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113</v>
      </c>
      <c r="P3" s="12" t="s">
        <v>114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112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Escobar Phill I'!B6</f>
        <v>2022</v>
      </c>
      <c r="C6" s="3">
        <f>+SUMPRODUCT('[17]Colector Escobar Phillipi'!$AL$20:$AL$30,'[17]Colector Escobar Phillipi'!$M$20:$M$30)/F2</f>
        <v>84.30101050911145</v>
      </c>
      <c r="D6" s="3">
        <f t="shared" ref="D6:D21" si="0">+C6</f>
        <v>84.30101050911145</v>
      </c>
      <c r="E6" s="3">
        <f>D6/(0.25*PI()*(F6/1000)^2)/1000</f>
        <v>0.75680199420574712</v>
      </c>
      <c r="F6" s="3">
        <f>+SUMPRODUCT('[17]Colector Escobar Phillipi'!$F$20:$F$30,'[17]Colector Escobar Phillipi'!$M$20:$M$30)/F2</f>
        <v>376.59999999999997</v>
      </c>
      <c r="G6" s="3">
        <f>+'[2]Colector Escobar Phillipi'!$AB$30</f>
        <v>41.722477699258725</v>
      </c>
      <c r="H6" s="3">
        <f t="shared" ref="H6:H21" si="1">+D6-G6</f>
        <v>42.578532809852724</v>
      </c>
      <c r="L6" s="56">
        <f>+B6</f>
        <v>2022</v>
      </c>
      <c r="M6" s="9">
        <f>+'[2]Colector Escobar Phillipi'!$V$30</f>
        <v>3486.1604909825928</v>
      </c>
      <c r="N6" s="34">
        <f>+'[2]Colector Escobar Phillipi'!$U$30</f>
        <v>10.434084423238859</v>
      </c>
      <c r="O6" s="44">
        <f>1+(14/(4+(SQRT(M6/1000))))</f>
        <v>3.3861767016228512</v>
      </c>
      <c r="P6" s="34">
        <f>+O6*N6</f>
        <v>35.331653576737331</v>
      </c>
      <c r="Q6" s="34">
        <f>+N6*$Q$4</f>
        <v>2.0868168846477722</v>
      </c>
      <c r="R6" s="34">
        <f>+Q6+P6</f>
        <v>37.418470461385105</v>
      </c>
      <c r="S6" s="34">
        <f>+'Colec Escobar Phill I'!S6</f>
        <v>4.3040072378736172</v>
      </c>
      <c r="T6" s="57">
        <f>+R6+S6</f>
        <v>41.722477699258725</v>
      </c>
      <c r="V6" s="46">
        <f>+G6</f>
        <v>41.722477699258725</v>
      </c>
      <c r="W6" s="34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84.30101050911145</v>
      </c>
      <c r="D7" s="3">
        <f t="shared" si="0"/>
        <v>84.30101050911145</v>
      </c>
      <c r="E7" s="3">
        <f t="shared" ref="E7:F21" si="4">+E6</f>
        <v>0.75680199420574712</v>
      </c>
      <c r="F7" s="3">
        <f t="shared" si="4"/>
        <v>376.59999999999997</v>
      </c>
      <c r="G7" s="3">
        <f>+'[3]Colector Escobar Phillipi'!$AB$30</f>
        <v>42.906154655034129</v>
      </c>
      <c r="H7" s="3">
        <f t="shared" si="1"/>
        <v>41.394855854077321</v>
      </c>
      <c r="L7" s="56">
        <f t="shared" ref="L7:L21" si="5">+B7</f>
        <v>2023</v>
      </c>
      <c r="M7" s="9">
        <f>+'[3]Colector Escobar Phillipi'!$V$30</f>
        <v>3514.3891213530296</v>
      </c>
      <c r="N7" s="34">
        <f>+'[3]Colector Escobar Phillipi'!$U$30</f>
        <v>10.763309780876114</v>
      </c>
      <c r="O7" s="44">
        <f t="shared" ref="O7:O21" si="6">1+(14/(4+(SQRT(M7/1000))))</f>
        <v>3.3831124197056317</v>
      </c>
      <c r="P7" s="34">
        <f t="shared" ref="P7:P21" si="7">+O7*N7</f>
        <v>36.413486996821078</v>
      </c>
      <c r="Q7" s="34">
        <f t="shared" ref="Q7:Q21" si="8">+N7*$Q$4</f>
        <v>2.1526619561752227</v>
      </c>
      <c r="R7" s="34">
        <f t="shared" ref="R7:R21" si="9">+Q7+P7</f>
        <v>38.566148952996301</v>
      </c>
      <c r="S7" s="34">
        <f>+'Colec Escobar Phill I'!S7</f>
        <v>4.3400057020378275</v>
      </c>
      <c r="T7" s="57">
        <f t="shared" ref="T7:T21" si="10">+R7+S7</f>
        <v>42.906154655034129</v>
      </c>
      <c r="V7" s="46">
        <f t="shared" ref="V7:V21" si="11">+G7</f>
        <v>42.906154655034129</v>
      </c>
      <c r="W7" s="34">
        <f t="shared" ref="W7:W21" si="12">+V7-T7</f>
        <v>0</v>
      </c>
    </row>
    <row r="8" spans="1:23" x14ac:dyDescent="0.3">
      <c r="B8" s="2">
        <f t="shared" si="2"/>
        <v>2024</v>
      </c>
      <c r="C8" s="3">
        <f t="shared" si="3"/>
        <v>84.30101050911145</v>
      </c>
      <c r="D8" s="3">
        <f t="shared" si="0"/>
        <v>84.30101050911145</v>
      </c>
      <c r="E8" s="3">
        <f t="shared" si="4"/>
        <v>0.75680199420574712</v>
      </c>
      <c r="F8" s="3">
        <f t="shared" si="4"/>
        <v>376.59999999999997</v>
      </c>
      <c r="G8" s="3">
        <f>+'[4]Colector Escobar Phillipi'!$AB$30</f>
        <v>43.793000163428317</v>
      </c>
      <c r="H8" s="3">
        <f t="shared" si="1"/>
        <v>40.508010345683132</v>
      </c>
      <c r="L8" s="56">
        <f t="shared" si="5"/>
        <v>2024</v>
      </c>
      <c r="M8" s="9">
        <f>+'[4]Colector Escobar Phillipi'!$V$30</f>
        <v>3542.747359760062</v>
      </c>
      <c r="N8" s="34">
        <f>+'[4]Colector Escobar Phillipi'!$U$30</f>
        <v>11.012235428566607</v>
      </c>
      <c r="O8" s="44">
        <f t="shared" si="6"/>
        <v>3.3800543017699591</v>
      </c>
      <c r="P8" s="34">
        <f t="shared" si="7"/>
        <v>37.221953732430109</v>
      </c>
      <c r="Q8" s="34">
        <f t="shared" si="8"/>
        <v>2.2024470857133216</v>
      </c>
      <c r="R8" s="34">
        <f t="shared" si="9"/>
        <v>39.424400818143432</v>
      </c>
      <c r="S8" s="34">
        <f>+'Colec Escobar Phill I'!S8</f>
        <v>4.3685993452848875</v>
      </c>
      <c r="T8" s="57">
        <f t="shared" si="10"/>
        <v>43.793000163428317</v>
      </c>
      <c r="V8" s="46">
        <f t="shared" si="11"/>
        <v>43.793000163428317</v>
      </c>
      <c r="W8" s="34">
        <f t="shared" si="12"/>
        <v>0</v>
      </c>
    </row>
    <row r="9" spans="1:23" x14ac:dyDescent="0.3">
      <c r="B9" s="2">
        <f t="shared" si="2"/>
        <v>2025</v>
      </c>
      <c r="C9" s="3">
        <f t="shared" si="3"/>
        <v>84.30101050911145</v>
      </c>
      <c r="D9" s="3">
        <f t="shared" si="0"/>
        <v>84.30101050911145</v>
      </c>
      <c r="E9" s="3">
        <f t="shared" si="4"/>
        <v>0.75680199420574712</v>
      </c>
      <c r="F9" s="3">
        <f t="shared" si="4"/>
        <v>376.59999999999997</v>
      </c>
      <c r="G9" s="3">
        <f>+'[5]Colector Escobar Phillipi'!$AB$30</f>
        <v>44.6828422699177</v>
      </c>
      <c r="H9" s="3">
        <f t="shared" si="1"/>
        <v>39.61816823919375</v>
      </c>
      <c r="L9" s="56">
        <f t="shared" si="5"/>
        <v>2025</v>
      </c>
      <c r="M9" s="9">
        <f>+'[5]Colector Escobar Phillipi'!$V$30</f>
        <v>3571.2092845963698</v>
      </c>
      <c r="N9" s="34">
        <f>+'[5]Colector Escobar Phillipi'!$U$30</f>
        <v>11.262279024164524</v>
      </c>
      <c r="O9" s="44">
        <f t="shared" si="6"/>
        <v>3.3770051188488823</v>
      </c>
      <c r="P9" s="34">
        <f t="shared" si="7"/>
        <v>38.032773914507992</v>
      </c>
      <c r="Q9" s="34">
        <f t="shared" si="8"/>
        <v>2.2524558048329051</v>
      </c>
      <c r="R9" s="34">
        <f t="shared" si="9"/>
        <v>40.285229719340897</v>
      </c>
      <c r="S9" s="34">
        <f>+'Colec Escobar Phill I'!S9</f>
        <v>4.3976125505768024</v>
      </c>
      <c r="T9" s="57">
        <f t="shared" si="10"/>
        <v>44.6828422699177</v>
      </c>
      <c r="V9" s="46">
        <f t="shared" si="11"/>
        <v>44.6828422699177</v>
      </c>
      <c r="W9" s="34">
        <f t="shared" si="12"/>
        <v>0</v>
      </c>
    </row>
    <row r="10" spans="1:23" x14ac:dyDescent="0.3">
      <c r="B10" s="2">
        <f t="shared" si="2"/>
        <v>2026</v>
      </c>
      <c r="C10" s="3">
        <f t="shared" si="3"/>
        <v>84.30101050911145</v>
      </c>
      <c r="D10" s="3">
        <f t="shared" si="0"/>
        <v>84.30101050911145</v>
      </c>
      <c r="E10" s="3">
        <f t="shared" si="4"/>
        <v>0.75680199420574712</v>
      </c>
      <c r="F10" s="3">
        <f t="shared" si="4"/>
        <v>376.59999999999997</v>
      </c>
      <c r="G10" s="3">
        <f>+'[6]Colector Escobar Phillipi'!$AB$30</f>
        <v>45.582269016325391</v>
      </c>
      <c r="H10" s="3">
        <f t="shared" si="1"/>
        <v>38.718741492786059</v>
      </c>
      <c r="L10" s="56">
        <f t="shared" si="5"/>
        <v>2026</v>
      </c>
      <c r="M10" s="9">
        <f>+'[6]Colector Escobar Phillipi'!$V$30</f>
        <v>3599.8267390765923</v>
      </c>
      <c r="N10" s="34">
        <f>+'[6]Colector Escobar Phillipi'!$U$30</f>
        <v>11.515250838464926</v>
      </c>
      <c r="O10" s="44">
        <f t="shared" si="6"/>
        <v>3.3739593196423421</v>
      </c>
      <c r="P10" s="34">
        <f t="shared" si="7"/>
        <v>38.851987884458033</v>
      </c>
      <c r="Q10" s="34">
        <f t="shared" si="8"/>
        <v>2.3030501676929851</v>
      </c>
      <c r="R10" s="34">
        <f t="shared" si="9"/>
        <v>41.155038052151021</v>
      </c>
      <c r="S10" s="34">
        <f>+'Colec Escobar Phill I'!S10</f>
        <v>4.427230964174373</v>
      </c>
      <c r="T10" s="57">
        <f t="shared" si="10"/>
        <v>45.582269016325391</v>
      </c>
      <c r="V10" s="46">
        <f t="shared" si="11"/>
        <v>45.582269016325391</v>
      </c>
      <c r="W10" s="34">
        <f t="shared" si="12"/>
        <v>0</v>
      </c>
    </row>
    <row r="11" spans="1:23" x14ac:dyDescent="0.3">
      <c r="B11" s="2">
        <f t="shared" si="2"/>
        <v>2027</v>
      </c>
      <c r="C11" s="3">
        <f t="shared" si="3"/>
        <v>84.30101050911145</v>
      </c>
      <c r="D11" s="3">
        <f t="shared" si="0"/>
        <v>84.30101050911145</v>
      </c>
      <c r="E11" s="3">
        <f t="shared" si="4"/>
        <v>0.75680199420574712</v>
      </c>
      <c r="F11" s="3">
        <f t="shared" si="4"/>
        <v>376.59999999999997</v>
      </c>
      <c r="G11" s="3">
        <f>+'[7]Colector Escobar Phillipi'!$AB$30</f>
        <v>46.489617247307478</v>
      </c>
      <c r="H11" s="3">
        <f t="shared" si="1"/>
        <v>37.811393261803971</v>
      </c>
      <c r="L11" s="56">
        <f t="shared" si="5"/>
        <v>2027</v>
      </c>
      <c r="M11" s="9">
        <f>+'[7]Colector Escobar Phillipi'!$V$30</f>
        <v>3628.5738015934098</v>
      </c>
      <c r="N11" s="34">
        <f>+'[7]Colector Escobar Phillipi'!$U$30</f>
        <v>11.770696140841149</v>
      </c>
      <c r="O11" s="44">
        <f t="shared" si="6"/>
        <v>3.3709196925262535</v>
      </c>
      <c r="P11" s="34">
        <f t="shared" si="7"/>
        <v>39.678071415904206</v>
      </c>
      <c r="Q11" s="34">
        <f t="shared" si="8"/>
        <v>2.3541392281682301</v>
      </c>
      <c r="R11" s="34">
        <f t="shared" si="9"/>
        <v>42.032210644072435</v>
      </c>
      <c r="S11" s="34">
        <f>+'Colec Escobar Phill I'!S11</f>
        <v>4.457406603235043</v>
      </c>
      <c r="T11" s="57">
        <f t="shared" si="10"/>
        <v>46.489617247307478</v>
      </c>
      <c r="V11" s="46">
        <f t="shared" si="11"/>
        <v>46.489617247307478</v>
      </c>
      <c r="W11" s="34">
        <f t="shared" si="12"/>
        <v>0</v>
      </c>
    </row>
    <row r="12" spans="1:23" x14ac:dyDescent="0.3">
      <c r="B12" s="2">
        <f t="shared" si="2"/>
        <v>2028</v>
      </c>
      <c r="C12" s="3">
        <f t="shared" si="3"/>
        <v>84.30101050911145</v>
      </c>
      <c r="D12" s="3">
        <f t="shared" si="0"/>
        <v>84.30101050911145</v>
      </c>
      <c r="E12" s="3">
        <f t="shared" si="4"/>
        <v>0.75680199420574712</v>
      </c>
      <c r="F12" s="3">
        <f t="shared" si="4"/>
        <v>376.59999999999997</v>
      </c>
      <c r="G12" s="3">
        <f>+'[8]Colector Escobar Phillipi'!$AB$30</f>
        <v>47.408321129903406</v>
      </c>
      <c r="H12" s="3">
        <f t="shared" si="1"/>
        <v>36.892689379208043</v>
      </c>
      <c r="L12" s="56">
        <f t="shared" si="5"/>
        <v>2028</v>
      </c>
      <c r="M12" s="9">
        <f>+'[8]Colector Escobar Phillipi'!$V$30</f>
        <v>3657.476393754142</v>
      </c>
      <c r="N12" s="34">
        <f>+'[8]Colector Escobar Phillipi'!$U$30</f>
        <v>12.02956326361217</v>
      </c>
      <c r="O12" s="44">
        <f t="shared" si="6"/>
        <v>3.3678835251061408</v>
      </c>
      <c r="P12" s="34">
        <f t="shared" si="7"/>
        <v>40.514167929741483</v>
      </c>
      <c r="Q12" s="34">
        <f t="shared" si="8"/>
        <v>2.4059126527224342</v>
      </c>
      <c r="R12" s="34">
        <f t="shared" si="9"/>
        <v>42.920080582463918</v>
      </c>
      <c r="S12" s="34">
        <f>+'Colec Escobar Phill I'!S12</f>
        <v>4.4882405474394886</v>
      </c>
      <c r="T12" s="57">
        <f t="shared" si="10"/>
        <v>47.408321129903406</v>
      </c>
      <c r="V12" s="46">
        <f t="shared" si="11"/>
        <v>47.408321129903406</v>
      </c>
      <c r="W12" s="34">
        <f t="shared" si="12"/>
        <v>0</v>
      </c>
    </row>
    <row r="13" spans="1:23" x14ac:dyDescent="0.3">
      <c r="B13" s="2">
        <f t="shared" si="2"/>
        <v>2029</v>
      </c>
      <c r="C13" s="3">
        <f t="shared" si="3"/>
        <v>84.30101050911145</v>
      </c>
      <c r="D13" s="3">
        <f t="shared" si="0"/>
        <v>84.30101050911145</v>
      </c>
      <c r="E13" s="3">
        <f t="shared" si="4"/>
        <v>0.75680199420574712</v>
      </c>
      <c r="F13" s="3">
        <f t="shared" si="4"/>
        <v>376.59999999999997</v>
      </c>
      <c r="G13" s="3">
        <f>+'[9]Colector Escobar Phillipi'!$AB$30</f>
        <v>48.32969071330178</v>
      </c>
      <c r="H13" s="3">
        <f t="shared" si="1"/>
        <v>35.97131979580967</v>
      </c>
      <c r="L13" s="56">
        <f t="shared" si="5"/>
        <v>2029</v>
      </c>
      <c r="M13" s="9">
        <f>+'[9]Colector Escobar Phillipi'!$V$30</f>
        <v>3686.4826723441502</v>
      </c>
      <c r="N13" s="34">
        <f>+'[9]Colector Escobar Phillipi'!$U$30</f>
        <v>12.289473618775082</v>
      </c>
      <c r="O13" s="44">
        <f t="shared" si="6"/>
        <v>3.3648562646433851</v>
      </c>
      <c r="P13" s="34">
        <f t="shared" si="7"/>
        <v>41.352312295304948</v>
      </c>
      <c r="Q13" s="34">
        <f t="shared" si="8"/>
        <v>2.4578947237550164</v>
      </c>
      <c r="R13" s="34">
        <f t="shared" si="9"/>
        <v>43.810207019059966</v>
      </c>
      <c r="S13" s="34">
        <f>+'Colec Escobar Phill I'!S13</f>
        <v>4.5194836942418144</v>
      </c>
      <c r="T13" s="57">
        <f t="shared" si="10"/>
        <v>48.32969071330178</v>
      </c>
      <c r="V13" s="46">
        <f t="shared" si="11"/>
        <v>48.32969071330178</v>
      </c>
      <c r="W13" s="34">
        <f t="shared" si="12"/>
        <v>0</v>
      </c>
    </row>
    <row r="14" spans="1:23" x14ac:dyDescent="0.3">
      <c r="B14" s="2">
        <f t="shared" si="2"/>
        <v>2030</v>
      </c>
      <c r="C14" s="3">
        <f t="shared" si="3"/>
        <v>84.30101050911145</v>
      </c>
      <c r="D14" s="3">
        <f t="shared" si="0"/>
        <v>84.30101050911145</v>
      </c>
      <c r="E14" s="3">
        <f t="shared" si="4"/>
        <v>0.75680199420574712</v>
      </c>
      <c r="F14" s="3">
        <f t="shared" si="4"/>
        <v>376.59999999999997</v>
      </c>
      <c r="G14" s="3">
        <f>+'[10]Colector Escobar Phillipi'!$AB$30</f>
        <v>49.260681637258159</v>
      </c>
      <c r="H14" s="3">
        <f t="shared" si="1"/>
        <v>35.040328871853291</v>
      </c>
      <c r="L14" s="56">
        <f t="shared" si="5"/>
        <v>2030</v>
      </c>
      <c r="M14" s="9">
        <f>+'[10]Colector Escobar Phillipi'!$V$30</f>
        <v>3715.6444805780725</v>
      </c>
      <c r="N14" s="34">
        <f>+'[10]Colector Escobar Phillipi'!$U$30</f>
        <v>12.552342773718591</v>
      </c>
      <c r="O14" s="44">
        <f t="shared" si="6"/>
        <v>3.3618325010590309</v>
      </c>
      <c r="P14" s="34">
        <f t="shared" si="7"/>
        <v>42.198873901120621</v>
      </c>
      <c r="Q14" s="34">
        <f t="shared" si="8"/>
        <v>2.5104685547437184</v>
      </c>
      <c r="R14" s="34">
        <f t="shared" si="9"/>
        <v>44.709342455864338</v>
      </c>
      <c r="S14" s="34">
        <f>+'Colec Escobar Phill I'!S14</f>
        <v>4.5513391813938213</v>
      </c>
      <c r="T14" s="57">
        <f t="shared" si="10"/>
        <v>49.260681637258159</v>
      </c>
      <c r="V14" s="46">
        <f t="shared" si="11"/>
        <v>49.260681637258159</v>
      </c>
      <c r="W14" s="34">
        <f t="shared" si="12"/>
        <v>0</v>
      </c>
    </row>
    <row r="15" spans="1:23" x14ac:dyDescent="0.3">
      <c r="B15" s="2">
        <f t="shared" si="2"/>
        <v>2031</v>
      </c>
      <c r="C15" s="3">
        <f t="shared" si="3"/>
        <v>84.30101050911145</v>
      </c>
      <c r="D15" s="3">
        <f t="shared" si="0"/>
        <v>84.30101050911145</v>
      </c>
      <c r="E15" s="3">
        <f t="shared" si="4"/>
        <v>0.75680199420574712</v>
      </c>
      <c r="F15" s="3">
        <f t="shared" si="4"/>
        <v>376.59999999999997</v>
      </c>
      <c r="G15" s="3">
        <f>+'[11]Colector Escobar Phillipi'!$AB$30</f>
        <v>50.199494643908395</v>
      </c>
      <c r="H15" s="3">
        <f t="shared" si="1"/>
        <v>34.101515865203055</v>
      </c>
      <c r="L15" s="56">
        <f t="shared" si="5"/>
        <v>2031</v>
      </c>
      <c r="M15" s="9">
        <f>+'[11]Colector Escobar Phillipi'!$V$30</f>
        <v>3744.961818455909</v>
      </c>
      <c r="N15" s="34">
        <f>+'[11]Colector Escobar Phillipi'!$U$30</f>
        <v>12.817685416737916</v>
      </c>
      <c r="O15" s="44">
        <f t="shared" si="6"/>
        <v>3.358812286813861</v>
      </c>
      <c r="P15" s="34">
        <f t="shared" si="7"/>
        <v>43.052199266254156</v>
      </c>
      <c r="Q15" s="34">
        <f t="shared" si="8"/>
        <v>2.5635370833475832</v>
      </c>
      <c r="R15" s="34">
        <f t="shared" si="9"/>
        <v>45.61573634960174</v>
      </c>
      <c r="S15" s="34">
        <f>+'Colec Escobar Phill I'!S15</f>
        <v>4.5837582943066568</v>
      </c>
      <c r="T15" s="57">
        <f t="shared" si="10"/>
        <v>50.199494643908395</v>
      </c>
      <c r="V15" s="46">
        <f t="shared" si="11"/>
        <v>50.199494643908395</v>
      </c>
      <c r="W15" s="34">
        <f t="shared" si="12"/>
        <v>0</v>
      </c>
    </row>
    <row r="16" spans="1:23" x14ac:dyDescent="0.3">
      <c r="B16" s="2">
        <f t="shared" si="2"/>
        <v>2032</v>
      </c>
      <c r="C16" s="3">
        <f t="shared" si="3"/>
        <v>84.30101050911145</v>
      </c>
      <c r="D16" s="3">
        <f t="shared" si="0"/>
        <v>84.30101050911145</v>
      </c>
      <c r="E16" s="3">
        <f t="shared" si="4"/>
        <v>0.75680199420574712</v>
      </c>
      <c r="F16" s="3">
        <f t="shared" si="4"/>
        <v>376.59999999999997</v>
      </c>
      <c r="G16" s="3">
        <f>+'[12]Colector Escobar Phillipi'!$AB$30</f>
        <v>51.149744614749984</v>
      </c>
      <c r="H16" s="3">
        <f t="shared" si="1"/>
        <v>33.151265894361465</v>
      </c>
      <c r="L16" s="56">
        <f t="shared" si="5"/>
        <v>2032</v>
      </c>
      <c r="M16" s="9">
        <f>+'[12]Colector Escobar Phillipi'!$V$30</f>
        <v>3774.4346859776597</v>
      </c>
      <c r="N16" s="34">
        <f>+'[12]Colector Escobar Phillipi'!$U$30</f>
        <v>13.086494014589462</v>
      </c>
      <c r="O16" s="44">
        <f t="shared" si="6"/>
        <v>3.3557956731039598</v>
      </c>
      <c r="P16" s="34">
        <f t="shared" si="7"/>
        <v>43.915599990260183</v>
      </c>
      <c r="Q16" s="34">
        <f t="shared" si="8"/>
        <v>2.6172988029178925</v>
      </c>
      <c r="R16" s="34">
        <f t="shared" si="9"/>
        <v>46.532898793178077</v>
      </c>
      <c r="S16" s="34">
        <f>+'Colec Escobar Phill I'!S16</f>
        <v>4.616845821571907</v>
      </c>
      <c r="T16" s="57">
        <f t="shared" si="10"/>
        <v>51.149744614749984</v>
      </c>
      <c r="V16" s="46">
        <f t="shared" si="11"/>
        <v>51.149744614749984</v>
      </c>
      <c r="W16" s="34">
        <f t="shared" si="12"/>
        <v>0</v>
      </c>
    </row>
    <row r="17" spans="2:23" x14ac:dyDescent="0.3">
      <c r="B17" s="2">
        <f t="shared" si="2"/>
        <v>2033</v>
      </c>
      <c r="C17" s="3">
        <f t="shared" si="3"/>
        <v>84.30101050911145</v>
      </c>
      <c r="D17" s="3">
        <f t="shared" si="0"/>
        <v>84.30101050911145</v>
      </c>
      <c r="E17" s="3">
        <f t="shared" si="4"/>
        <v>0.75680199420574712</v>
      </c>
      <c r="F17" s="3">
        <f t="shared" si="4"/>
        <v>376.59999999999997</v>
      </c>
      <c r="G17" s="3">
        <f>+'[13]Colector Escobar Phillipi'!$AB$30</f>
        <v>52.102238890124525</v>
      </c>
      <c r="H17" s="3">
        <f t="shared" si="1"/>
        <v>32.198771618986925</v>
      </c>
      <c r="L17" s="56">
        <f t="shared" si="5"/>
        <v>2033</v>
      </c>
      <c r="M17" s="9">
        <f>+'[13]Colector Escobar Phillipi'!$V$30</f>
        <v>3804.0890047506437</v>
      </c>
      <c r="N17" s="34">
        <f>+'[13]Colector Escobar Phillipi'!$U$30</f>
        <v>13.356271129317372</v>
      </c>
      <c r="O17" s="44">
        <f t="shared" si="6"/>
        <v>3.3527800823858454</v>
      </c>
      <c r="P17" s="34">
        <f t="shared" si="7"/>
        <v>44.780639817320385</v>
      </c>
      <c r="Q17" s="34">
        <f t="shared" si="8"/>
        <v>2.6712542258634748</v>
      </c>
      <c r="R17" s="34">
        <f t="shared" si="9"/>
        <v>47.451894043183856</v>
      </c>
      <c r="S17" s="34">
        <f>+'Colec Escobar Phill I'!S17</f>
        <v>4.6503448469406701</v>
      </c>
      <c r="T17" s="57">
        <f t="shared" si="10"/>
        <v>52.102238890124525</v>
      </c>
      <c r="V17" s="46">
        <f t="shared" si="11"/>
        <v>52.102238890124525</v>
      </c>
      <c r="W17" s="34">
        <f t="shared" si="12"/>
        <v>0</v>
      </c>
    </row>
    <row r="18" spans="2:23" x14ac:dyDescent="0.3">
      <c r="B18" s="2">
        <f t="shared" si="2"/>
        <v>2034</v>
      </c>
      <c r="C18" s="3">
        <f t="shared" si="3"/>
        <v>84.30101050911145</v>
      </c>
      <c r="D18" s="3">
        <f t="shared" si="0"/>
        <v>84.30101050911145</v>
      </c>
      <c r="E18" s="3">
        <f t="shared" si="4"/>
        <v>0.75680199420574712</v>
      </c>
      <c r="F18" s="3">
        <f t="shared" si="4"/>
        <v>376.59999999999997</v>
      </c>
      <c r="G18" s="3">
        <f>+'[14]Colector Escobar Phillipi'!$AB$30</f>
        <v>53.064450226301517</v>
      </c>
      <c r="H18" s="3">
        <f t="shared" si="1"/>
        <v>31.236560282809933</v>
      </c>
      <c r="L18" s="56">
        <f t="shared" si="5"/>
        <v>2034</v>
      </c>
      <c r="M18" s="9">
        <f>+'[14]Colector Escobar Phillipi'!$V$30</f>
        <v>3833.847009952904</v>
      </c>
      <c r="N18" s="34">
        <f>+'[14]Colector Escobar Phillipi'!$U$30</f>
        <v>13.629037624903981</v>
      </c>
      <c r="O18" s="44">
        <f t="shared" si="6"/>
        <v>3.3497734458914463</v>
      </c>
      <c r="P18" s="34">
        <f t="shared" si="7"/>
        <v>45.654188328958782</v>
      </c>
      <c r="Q18" s="34">
        <f t="shared" si="8"/>
        <v>2.7258075249807963</v>
      </c>
      <c r="R18" s="34">
        <f t="shared" si="9"/>
        <v>48.379995853939576</v>
      </c>
      <c r="S18" s="34">
        <f>+'Colec Escobar Phill I'!S18</f>
        <v>4.6844543723619383</v>
      </c>
      <c r="T18" s="57">
        <f t="shared" si="10"/>
        <v>53.064450226301517</v>
      </c>
      <c r="V18" s="46">
        <f t="shared" si="11"/>
        <v>53.064450226301517</v>
      </c>
      <c r="W18" s="34">
        <f t="shared" si="12"/>
        <v>0</v>
      </c>
    </row>
    <row r="19" spans="2:23" x14ac:dyDescent="0.3">
      <c r="B19" s="2">
        <f t="shared" si="2"/>
        <v>2035</v>
      </c>
      <c r="C19" s="3">
        <f t="shared" si="3"/>
        <v>84.30101050911145</v>
      </c>
      <c r="D19" s="3">
        <f t="shared" si="0"/>
        <v>84.30101050911145</v>
      </c>
      <c r="E19" s="3">
        <f t="shared" si="4"/>
        <v>0.75680199420574712</v>
      </c>
      <c r="F19" s="3">
        <f t="shared" si="4"/>
        <v>376.59999999999997</v>
      </c>
      <c r="G19" s="3">
        <f>+'[15]Colector Escobar Phillipi'!$AB$30</f>
        <v>54.034348356989639</v>
      </c>
      <c r="H19" s="3">
        <f t="shared" si="1"/>
        <v>30.26666215212181</v>
      </c>
      <c r="L19" s="56">
        <f t="shared" si="5"/>
        <v>2035</v>
      </c>
      <c r="M19" s="9">
        <f>+'[15]Colector Escobar Phillipi'!$V$30</f>
        <v>3863.8123880137168</v>
      </c>
      <c r="N19" s="34">
        <f>+'[15]Colector Escobar Phillipi'!$U$30</f>
        <v>13.904277608566412</v>
      </c>
      <c r="O19" s="44">
        <f t="shared" si="6"/>
        <v>3.3467653348674742</v>
      </c>
      <c r="P19" s="34">
        <f t="shared" si="7"/>
        <v>46.53435430672409</v>
      </c>
      <c r="Q19" s="34">
        <f t="shared" si="8"/>
        <v>2.7808555217132827</v>
      </c>
      <c r="R19" s="34">
        <f t="shared" si="9"/>
        <v>49.315209828437375</v>
      </c>
      <c r="S19" s="34">
        <f>+'Colec Escobar Phill I'!S19</f>
        <v>4.7191385285522607</v>
      </c>
      <c r="T19" s="57">
        <f t="shared" si="10"/>
        <v>54.034348356989639</v>
      </c>
      <c r="V19" s="46">
        <f t="shared" si="11"/>
        <v>54.034348356989639</v>
      </c>
      <c r="W19" s="34">
        <f t="shared" si="12"/>
        <v>0</v>
      </c>
    </row>
    <row r="20" spans="2:23" x14ac:dyDescent="0.3">
      <c r="B20" s="2">
        <f t="shared" si="2"/>
        <v>2036</v>
      </c>
      <c r="C20" s="3">
        <f t="shared" si="3"/>
        <v>84.30101050911145</v>
      </c>
      <c r="D20" s="3">
        <f t="shared" si="0"/>
        <v>84.30101050911145</v>
      </c>
      <c r="E20" s="3">
        <f t="shared" si="4"/>
        <v>0.75680199420574712</v>
      </c>
      <c r="F20" s="3">
        <f t="shared" si="4"/>
        <v>376.59999999999997</v>
      </c>
      <c r="G20" s="3">
        <f>+'[16]Colector Escobar Phillipi'!$AB$30</f>
        <v>55.015794170567879</v>
      </c>
      <c r="H20" s="3">
        <f t="shared" si="1"/>
        <v>29.28521633854357</v>
      </c>
      <c r="L20" s="56">
        <f t="shared" si="5"/>
        <v>2036</v>
      </c>
      <c r="M20" s="9">
        <f>+'[16]Colector Escobar Phillipi'!$V$30</f>
        <v>3893.9073741111247</v>
      </c>
      <c r="N20" s="34">
        <f>+'[16]Colector Escobar Phillipi'!$U$30</f>
        <v>14.183027681498491</v>
      </c>
      <c r="O20" s="44">
        <f t="shared" si="6"/>
        <v>3.3437636274282045</v>
      </c>
      <c r="P20" s="34">
        <f t="shared" si="7"/>
        <v>47.424692088202029</v>
      </c>
      <c r="Q20" s="34">
        <f t="shared" si="8"/>
        <v>2.8366055362996985</v>
      </c>
      <c r="R20" s="34">
        <f t="shared" si="9"/>
        <v>50.261297624501729</v>
      </c>
      <c r="S20" s="34">
        <f>+'Colec Escobar Phill I'!S20</f>
        <v>4.7544965460661528</v>
      </c>
      <c r="T20" s="57">
        <f t="shared" si="10"/>
        <v>55.015794170567879</v>
      </c>
      <c r="V20" s="46">
        <f t="shared" si="11"/>
        <v>55.015794170567879</v>
      </c>
      <c r="W20" s="34">
        <f t="shared" si="12"/>
        <v>0</v>
      </c>
    </row>
    <row r="21" spans="2:23" ht="13.8" thickBot="1" x14ac:dyDescent="0.35">
      <c r="B21" s="2">
        <f t="shared" si="2"/>
        <v>2037</v>
      </c>
      <c r="C21" s="3">
        <f t="shared" si="3"/>
        <v>84.30101050911145</v>
      </c>
      <c r="D21" s="3">
        <f t="shared" si="0"/>
        <v>84.30101050911145</v>
      </c>
      <c r="E21" s="3">
        <f t="shared" si="4"/>
        <v>0.75680199420574712</v>
      </c>
      <c r="F21" s="3">
        <f t="shared" si="4"/>
        <v>376.59999999999997</v>
      </c>
      <c r="G21" s="3">
        <f>+'[17]Colector Escobar Phillipi'!$AB$30</f>
        <v>55.999150159689293</v>
      </c>
      <c r="H21" s="3">
        <f t="shared" si="1"/>
        <v>28.301860349422157</v>
      </c>
      <c r="I21" s="13">
        <f>+G21/G6-1</f>
        <v>0.34218179858201991</v>
      </c>
      <c r="L21" s="58">
        <f t="shared" si="5"/>
        <v>2037</v>
      </c>
      <c r="M21" s="59">
        <f>+'[17]Colector Escobar Phillipi'!$V$30</f>
        <v>3924.1838114597658</v>
      </c>
      <c r="N21" s="60">
        <f>+'[17]Colector Escobar Phillipi'!$U$30</f>
        <v>14.462671555791397</v>
      </c>
      <c r="O21" s="61">
        <f t="shared" si="6"/>
        <v>3.3407631975889229</v>
      </c>
      <c r="P21" s="60">
        <f t="shared" si="7"/>
        <v>48.316360872404033</v>
      </c>
      <c r="Q21" s="60">
        <f t="shared" si="8"/>
        <v>2.8925343111582795</v>
      </c>
      <c r="R21" s="60">
        <f t="shared" si="9"/>
        <v>51.208895183562312</v>
      </c>
      <c r="S21" s="60">
        <f>+'Colec Escobar Phill I'!S21</f>
        <v>4.7902549761269819</v>
      </c>
      <c r="T21" s="62">
        <f t="shared" si="10"/>
        <v>55.999150159689293</v>
      </c>
      <c r="V21" s="46">
        <f t="shared" si="11"/>
        <v>55.999150159689293</v>
      </c>
      <c r="W21" s="34">
        <f t="shared" si="12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E44"/>
  <sheetViews>
    <sheetView showGridLines="0" topLeftCell="M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1" ht="13.8" thickBot="1" x14ac:dyDescent="0.35"/>
    <row r="2" spans="1:31" x14ac:dyDescent="0.3">
      <c r="B2" s="5" t="s">
        <v>41</v>
      </c>
      <c r="E2" s="6" t="s">
        <v>7</v>
      </c>
      <c r="F2" s="7">
        <f>+'[17]Colector Krahmer I'!$N$23</f>
        <v>324.77</v>
      </c>
      <c r="G2" s="8" t="s">
        <v>8</v>
      </c>
      <c r="T2" s="47"/>
      <c r="U2" s="48" t="s">
        <v>98</v>
      </c>
      <c r="V2" s="49"/>
      <c r="W2" s="49"/>
      <c r="X2" s="49"/>
      <c r="Y2" s="49"/>
      <c r="Z2" s="49"/>
      <c r="AA2" s="49"/>
      <c r="AB2" s="50"/>
    </row>
    <row r="3" spans="1:31" x14ac:dyDescent="0.3">
      <c r="B3" s="8" t="s">
        <v>82</v>
      </c>
      <c r="T3" s="51"/>
      <c r="U3" s="42" t="s">
        <v>147</v>
      </c>
      <c r="X3" s="12" t="s">
        <v>148</v>
      </c>
      <c r="AB3" s="52"/>
    </row>
    <row r="4" spans="1:3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T4" s="51"/>
      <c r="Y4" s="53">
        <v>0.2</v>
      </c>
      <c r="AA4" s="43" t="s">
        <v>94</v>
      </c>
      <c r="AB4" s="52"/>
    </row>
    <row r="5" spans="1:31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"/>
      <c r="T5" s="54" t="s">
        <v>0</v>
      </c>
      <c r="U5" s="45" t="s">
        <v>90</v>
      </c>
      <c r="V5" s="45" t="s">
        <v>99</v>
      </c>
      <c r="W5" s="45" t="s">
        <v>91</v>
      </c>
      <c r="X5" s="45" t="s">
        <v>92</v>
      </c>
      <c r="Y5" s="45" t="s">
        <v>93</v>
      </c>
      <c r="Z5" s="45" t="s">
        <v>100</v>
      </c>
      <c r="AA5" s="45"/>
      <c r="AB5" s="55" t="s">
        <v>101</v>
      </c>
      <c r="AC5" s="43"/>
      <c r="AD5" s="43" t="s">
        <v>92</v>
      </c>
      <c r="AE5" s="43" t="s">
        <v>97</v>
      </c>
    </row>
    <row r="6" spans="1:31" x14ac:dyDescent="0.3">
      <c r="A6" s="12" t="s">
        <v>6</v>
      </c>
      <c r="B6" s="2">
        <f>+'Colec San Luis III'!B6</f>
        <v>2022</v>
      </c>
      <c r="C6" s="3">
        <f>+SUMPRODUCT('[17]Colector Krahmer I'!$AL$17:$AL$23,'[17]Colector Krahmer I'!$M$17:$M$23)/F2</f>
        <v>727.8156152596448</v>
      </c>
      <c r="D6" s="3">
        <f t="shared" ref="D6:D21" si="0">+C6</f>
        <v>727.8156152596448</v>
      </c>
      <c r="E6" s="3">
        <f>D6/(0.25*PI()*(F6/1000)^2)/1000</f>
        <v>1.4479431603505195</v>
      </c>
      <c r="F6" s="3">
        <f>+SUMPRODUCT('[17]Colector Krahmer I'!$F$17:$F$23,'[17]Colector Krahmer I'!$M$17:$M$23)/F2</f>
        <v>800</v>
      </c>
      <c r="G6" s="3">
        <f>+'[2]Colector Krahmer I'!$AB$23</f>
        <v>258.55661465112462</v>
      </c>
      <c r="H6" s="3">
        <f t="shared" ref="H6:H21" si="1">+D6-G6</f>
        <v>469.25900060852018</v>
      </c>
      <c r="L6" s="9"/>
      <c r="T6" s="56">
        <f>+B6</f>
        <v>2022</v>
      </c>
      <c r="U6" s="9">
        <f>+'[2]Colector Krahmer I'!$V$26</f>
        <v>29559.987138937176</v>
      </c>
      <c r="V6" s="34">
        <f>+'[2]Colector Krahmer I'!$U$26</f>
        <v>49.474967530433368</v>
      </c>
      <c r="W6" s="44">
        <f t="shared" ref="W6" si="2">1+(14/(4+(SQRT(U6/1000))))</f>
        <v>2.4835365005952545</v>
      </c>
      <c r="X6" s="34">
        <f t="shared" ref="X6" si="3">+W6*V6</f>
        <v>122.87288772759634</v>
      </c>
      <c r="Y6" s="34">
        <f>+V6*$Y$4</f>
        <v>9.8949935060866743</v>
      </c>
      <c r="Z6" s="34">
        <f t="shared" ref="Z6" si="4">+Y6+X6</f>
        <v>132.767881233683</v>
      </c>
      <c r="AA6" s="34">
        <f>+'[2]Colector Krahmer I'!$AA$26</f>
        <v>125.78873341744163</v>
      </c>
      <c r="AB6" s="57">
        <f>+AA6+Z6</f>
        <v>258.55661465112462</v>
      </c>
      <c r="AD6" s="46">
        <f>+G6</f>
        <v>258.55661465112462</v>
      </c>
      <c r="AE6" s="34">
        <f>+AD6-AB6</f>
        <v>0</v>
      </c>
    </row>
    <row r="7" spans="1:31" x14ac:dyDescent="0.3">
      <c r="B7" s="2">
        <f t="shared" ref="B7:B21" si="5">+B6+1</f>
        <v>2023</v>
      </c>
      <c r="C7" s="3">
        <f t="shared" ref="C7:C21" si="6">+C6</f>
        <v>727.8156152596448</v>
      </c>
      <c r="D7" s="3">
        <f t="shared" si="0"/>
        <v>727.8156152596448</v>
      </c>
      <c r="E7" s="3">
        <f t="shared" ref="E7:F21" si="7">+E6</f>
        <v>1.4479431603505195</v>
      </c>
      <c r="F7" s="3">
        <f t="shared" si="7"/>
        <v>800</v>
      </c>
      <c r="G7" s="3">
        <f>+'[3]Colector Krahmer I'!$AB$23</f>
        <v>266.18188536451669</v>
      </c>
      <c r="H7" s="3">
        <f t="shared" si="1"/>
        <v>461.63372989512811</v>
      </c>
      <c r="L7" s="9"/>
      <c r="T7" s="56">
        <f t="shared" ref="T7:T21" si="8">+B7</f>
        <v>2023</v>
      </c>
      <c r="U7" s="9">
        <f>+'[3]Colector Krahmer I'!$V$26</f>
        <v>29799.344435555708</v>
      </c>
      <c r="V7" s="34">
        <f>+'[3]Colector Krahmer I'!$U$26</f>
        <v>51.036044978016683</v>
      </c>
      <c r="W7" s="44">
        <f t="shared" ref="W7:W21" si="9">1+(14/(4+(SQRT(U7/1000))))</f>
        <v>2.4800910447676365</v>
      </c>
      <c r="X7" s="34">
        <f t="shared" ref="X7:X21" si="10">+W7*V7</f>
        <v>126.57403811033748</v>
      </c>
      <c r="Y7" s="34">
        <f t="shared" ref="Y7:Y21" si="11">+V7*$Y$4</f>
        <v>10.207208995603338</v>
      </c>
      <c r="Z7" s="34">
        <f t="shared" ref="Z7:Z21" si="12">+Y7+X7</f>
        <v>136.78124710594082</v>
      </c>
      <c r="AA7" s="34">
        <f>+'[3]Colector Krahmer I'!$AA$26</f>
        <v>129.4006382585759</v>
      </c>
      <c r="AB7" s="57">
        <f t="shared" ref="AB7:AB21" si="13">+AA7+Z7</f>
        <v>266.18188536451669</v>
      </c>
      <c r="AD7" s="46">
        <f t="shared" ref="AD7:AD21" si="14">+G7</f>
        <v>266.18188536451669</v>
      </c>
      <c r="AE7" s="34">
        <f t="shared" ref="AE7:AE21" si="15">+AD7-AB7</f>
        <v>0</v>
      </c>
    </row>
    <row r="8" spans="1:31" x14ac:dyDescent="0.3">
      <c r="B8" s="2">
        <f t="shared" si="5"/>
        <v>2024</v>
      </c>
      <c r="C8" s="3">
        <f t="shared" si="6"/>
        <v>727.8156152596448</v>
      </c>
      <c r="D8" s="3">
        <f t="shared" si="0"/>
        <v>727.8156152596448</v>
      </c>
      <c r="E8" s="3">
        <f t="shared" si="7"/>
        <v>1.4479431603505195</v>
      </c>
      <c r="F8" s="3">
        <f t="shared" si="7"/>
        <v>800</v>
      </c>
      <c r="G8" s="3">
        <f>+'[4]Colector Krahmer I'!$AB$23</f>
        <v>271.85390597901772</v>
      </c>
      <c r="H8" s="3">
        <f t="shared" si="1"/>
        <v>455.96170928062708</v>
      </c>
      <c r="L8" s="9"/>
      <c r="T8" s="56">
        <f t="shared" si="8"/>
        <v>2024</v>
      </c>
      <c r="U8" s="9">
        <f>+'[4]Colector Krahmer I'!$V$26</f>
        <v>30039.800709661009</v>
      </c>
      <c r="V8" s="34">
        <f>+'[4]Colector Krahmer I'!$U$26</f>
        <v>52.216367835051443</v>
      </c>
      <c r="W8" s="44">
        <f t="shared" si="9"/>
        <v>2.4766596545698039</v>
      </c>
      <c r="X8" s="34">
        <f t="shared" si="10"/>
        <v>129.32217152524834</v>
      </c>
      <c r="Y8" s="34">
        <f t="shared" si="11"/>
        <v>10.443273567010289</v>
      </c>
      <c r="Z8" s="34">
        <f t="shared" si="12"/>
        <v>139.76544509225863</v>
      </c>
      <c r="AA8" s="34">
        <f>+'[4]Colector Krahmer I'!$AA$26</f>
        <v>132.08846088675909</v>
      </c>
      <c r="AB8" s="57">
        <f t="shared" si="13"/>
        <v>271.85390597901772</v>
      </c>
      <c r="AD8" s="46">
        <f t="shared" si="14"/>
        <v>271.85390597901772</v>
      </c>
      <c r="AE8" s="34">
        <f t="shared" si="15"/>
        <v>0</v>
      </c>
    </row>
    <row r="9" spans="1:31" x14ac:dyDescent="0.3">
      <c r="B9" s="2">
        <f t="shared" si="5"/>
        <v>2025</v>
      </c>
      <c r="C9" s="3">
        <f t="shared" si="6"/>
        <v>727.8156152596448</v>
      </c>
      <c r="D9" s="3">
        <f t="shared" si="0"/>
        <v>727.8156152596448</v>
      </c>
      <c r="E9" s="3">
        <f t="shared" si="7"/>
        <v>1.4479431603505195</v>
      </c>
      <c r="F9" s="3">
        <f t="shared" si="7"/>
        <v>800</v>
      </c>
      <c r="G9" s="3">
        <f>+'[5]Colector Krahmer I'!$AB$23</f>
        <v>277.54069804699634</v>
      </c>
      <c r="H9" s="3">
        <f t="shared" si="1"/>
        <v>450.27491721264846</v>
      </c>
      <c r="L9" s="9"/>
      <c r="T9" s="56">
        <f t="shared" si="8"/>
        <v>2025</v>
      </c>
      <c r="U9" s="9">
        <f>+'[5]Colector Krahmer I'!$V$26</f>
        <v>30281.136165755725</v>
      </c>
      <c r="V9" s="34">
        <f>+'[5]Colector Krahmer I'!$U$26</f>
        <v>53.401991630259317</v>
      </c>
      <c r="W9" s="44">
        <f t="shared" si="9"/>
        <v>2.4732453644575285</v>
      </c>
      <c r="X9" s="34">
        <f t="shared" si="10"/>
        <v>132.07622825233858</v>
      </c>
      <c r="Y9" s="34">
        <f t="shared" si="11"/>
        <v>10.680398326051865</v>
      </c>
      <c r="Z9" s="34">
        <f t="shared" si="12"/>
        <v>142.75662657839044</v>
      </c>
      <c r="AA9" s="34">
        <f>+'[5]Colector Krahmer I'!$AA$26</f>
        <v>134.78407146860593</v>
      </c>
      <c r="AB9" s="57">
        <f t="shared" si="13"/>
        <v>277.54069804699634</v>
      </c>
      <c r="AD9" s="46">
        <f t="shared" si="14"/>
        <v>277.54069804699634</v>
      </c>
      <c r="AE9" s="34">
        <f t="shared" si="15"/>
        <v>0</v>
      </c>
    </row>
    <row r="10" spans="1:31" x14ac:dyDescent="0.3">
      <c r="B10" s="2">
        <f t="shared" si="5"/>
        <v>2026</v>
      </c>
      <c r="C10" s="3">
        <f t="shared" si="6"/>
        <v>727.8156152596448</v>
      </c>
      <c r="D10" s="3">
        <f t="shared" si="0"/>
        <v>727.8156152596448</v>
      </c>
      <c r="E10" s="3">
        <f t="shared" si="7"/>
        <v>1.4479431603505195</v>
      </c>
      <c r="F10" s="3">
        <f t="shared" si="7"/>
        <v>800</v>
      </c>
      <c r="G10" s="3">
        <f>+'[6]Colector Krahmer I'!$AB$23</f>
        <v>283.28517632601847</v>
      </c>
      <c r="H10" s="3">
        <f t="shared" si="1"/>
        <v>444.53043893362633</v>
      </c>
      <c r="L10" s="9"/>
      <c r="T10" s="56">
        <f t="shared" si="8"/>
        <v>2026</v>
      </c>
      <c r="U10" s="9">
        <f>+'[6]Colector Krahmer I'!$V$26</f>
        <v>30523.790394834567</v>
      </c>
      <c r="V10" s="34">
        <f>+'[6]Colector Krahmer I'!$U$26</f>
        <v>54.601500067315087</v>
      </c>
      <c r="W10" s="44">
        <f t="shared" si="9"/>
        <v>2.46984189375469</v>
      </c>
      <c r="X10" s="34">
        <f t="shared" si="10"/>
        <v>134.85707232810432</v>
      </c>
      <c r="Y10" s="34">
        <f t="shared" si="11"/>
        <v>10.920300013463018</v>
      </c>
      <c r="Z10" s="34">
        <f t="shared" si="12"/>
        <v>145.77737234156734</v>
      </c>
      <c r="AA10" s="34">
        <f>+'[6]Colector Krahmer I'!$AA$26</f>
        <v>137.50780398445113</v>
      </c>
      <c r="AB10" s="57">
        <f t="shared" si="13"/>
        <v>283.28517632601847</v>
      </c>
      <c r="AD10" s="46">
        <f t="shared" si="14"/>
        <v>283.28517632601847</v>
      </c>
      <c r="AE10" s="34">
        <f t="shared" si="15"/>
        <v>0</v>
      </c>
    </row>
    <row r="11" spans="1:31" x14ac:dyDescent="0.3">
      <c r="B11" s="2">
        <f t="shared" si="5"/>
        <v>2027</v>
      </c>
      <c r="C11" s="3">
        <f t="shared" si="6"/>
        <v>727.8156152596448</v>
      </c>
      <c r="D11" s="3">
        <f t="shared" si="0"/>
        <v>727.8156152596448</v>
      </c>
      <c r="E11" s="3">
        <f t="shared" si="7"/>
        <v>1.4479431603505195</v>
      </c>
      <c r="F11" s="3">
        <f t="shared" si="7"/>
        <v>800</v>
      </c>
      <c r="G11" s="3">
        <f>+'[7]Colector Krahmer I'!$AB$23</f>
        <v>289.07655026370594</v>
      </c>
      <c r="H11" s="3">
        <f t="shared" si="1"/>
        <v>438.73906499593886</v>
      </c>
      <c r="L11" s="9"/>
      <c r="T11" s="56">
        <f t="shared" si="8"/>
        <v>2027</v>
      </c>
      <c r="U11" s="9">
        <f>+'[7]Colector Krahmer I'!$V$26</f>
        <v>30767.543601400175</v>
      </c>
      <c r="V11" s="34">
        <f>+'[7]Colector Krahmer I'!$U$26</f>
        <v>55.812736964413375</v>
      </c>
      <c r="W11" s="44">
        <f t="shared" si="9"/>
        <v>2.466452303601014</v>
      </c>
      <c r="X11" s="34">
        <f t="shared" si="10"/>
        <v>137.65945365615482</v>
      </c>
      <c r="Y11" s="34">
        <f t="shared" si="11"/>
        <v>11.162547392882676</v>
      </c>
      <c r="Z11" s="34">
        <f t="shared" si="12"/>
        <v>148.82200104903751</v>
      </c>
      <c r="AA11" s="34">
        <f>+'[7]Colector Krahmer I'!$AA$26</f>
        <v>140.25454921466846</v>
      </c>
      <c r="AB11" s="57">
        <f t="shared" si="13"/>
        <v>289.07655026370594</v>
      </c>
      <c r="AD11" s="46">
        <f t="shared" si="14"/>
        <v>289.07655026370594</v>
      </c>
      <c r="AE11" s="34">
        <f t="shared" si="15"/>
        <v>0</v>
      </c>
    </row>
    <row r="12" spans="1:31" x14ac:dyDescent="0.3">
      <c r="B12" s="2">
        <f t="shared" si="5"/>
        <v>2028</v>
      </c>
      <c r="C12" s="3">
        <f t="shared" si="6"/>
        <v>727.8156152596448</v>
      </c>
      <c r="D12" s="3">
        <f t="shared" si="0"/>
        <v>727.8156152596448</v>
      </c>
      <c r="E12" s="3">
        <f t="shared" si="7"/>
        <v>1.4479431603505195</v>
      </c>
      <c r="F12" s="3">
        <f t="shared" si="7"/>
        <v>800</v>
      </c>
      <c r="G12" s="3">
        <f>+'[8]Colector Krahmer I'!$AB$23</f>
        <v>294.93713462469395</v>
      </c>
      <c r="H12" s="3">
        <f t="shared" si="1"/>
        <v>432.87848063495085</v>
      </c>
      <c r="L12" s="9"/>
      <c r="T12" s="56">
        <f t="shared" si="8"/>
        <v>2028</v>
      </c>
      <c r="U12" s="9">
        <f>+'[8]Colector Krahmer I'!$V$26</f>
        <v>31012.615580949911</v>
      </c>
      <c r="V12" s="34">
        <f>+'[8]Colector Krahmer I'!$U$26</f>
        <v>57.040198998865392</v>
      </c>
      <c r="W12" s="44">
        <f t="shared" si="9"/>
        <v>2.463073514701529</v>
      </c>
      <c r="X12" s="34">
        <f t="shared" si="10"/>
        <v>140.49420342741001</v>
      </c>
      <c r="Y12" s="34">
        <f t="shared" si="11"/>
        <v>11.408039799773078</v>
      </c>
      <c r="Z12" s="34">
        <f t="shared" si="12"/>
        <v>151.90224322718308</v>
      </c>
      <c r="AA12" s="34">
        <f>+'[8]Colector Krahmer I'!$AA$26</f>
        <v>143.03489139751088</v>
      </c>
      <c r="AB12" s="57">
        <f t="shared" si="13"/>
        <v>294.93713462469395</v>
      </c>
      <c r="AD12" s="46">
        <f t="shared" si="14"/>
        <v>294.93713462469395</v>
      </c>
      <c r="AE12" s="34">
        <f t="shared" si="15"/>
        <v>0</v>
      </c>
    </row>
    <row r="13" spans="1:31" x14ac:dyDescent="0.3">
      <c r="B13" s="2">
        <f t="shared" si="5"/>
        <v>2029</v>
      </c>
      <c r="C13" s="3">
        <f t="shared" si="6"/>
        <v>727.8156152596448</v>
      </c>
      <c r="D13" s="3">
        <f t="shared" si="0"/>
        <v>727.8156152596448</v>
      </c>
      <c r="E13" s="3">
        <f t="shared" si="7"/>
        <v>1.4479431603505195</v>
      </c>
      <c r="F13" s="3">
        <f t="shared" si="7"/>
        <v>800</v>
      </c>
      <c r="G13" s="3">
        <f>+'[9]Colector Krahmer I'!$AB$23</f>
        <v>300.81032093255783</v>
      </c>
      <c r="H13" s="3">
        <f t="shared" si="1"/>
        <v>427.00529432708697</v>
      </c>
      <c r="L13" s="9"/>
      <c r="T13" s="56">
        <f t="shared" si="8"/>
        <v>2029</v>
      </c>
      <c r="U13" s="9">
        <f>+'[9]Colector Krahmer I'!$V$26</f>
        <v>31258.566742489063</v>
      </c>
      <c r="V13" s="34">
        <f>+'[9]Colector Krahmer I'!$U$26</f>
        <v>58.272607695297708</v>
      </c>
      <c r="W13" s="44">
        <f t="shared" si="9"/>
        <v>2.4597115254461648</v>
      </c>
      <c r="X13" s="34">
        <f t="shared" si="10"/>
        <v>143.33380476592666</v>
      </c>
      <c r="Y13" s="34">
        <f t="shared" si="11"/>
        <v>11.654521539059543</v>
      </c>
      <c r="Z13" s="34">
        <f t="shared" si="12"/>
        <v>154.9883263049862</v>
      </c>
      <c r="AA13" s="34">
        <f>+'[9]Colector Krahmer I'!$AA$26</f>
        <v>145.82199462757166</v>
      </c>
      <c r="AB13" s="57">
        <f t="shared" si="13"/>
        <v>300.81032093255783</v>
      </c>
      <c r="AD13" s="46">
        <f t="shared" si="14"/>
        <v>300.81032093255783</v>
      </c>
      <c r="AE13" s="34">
        <f t="shared" si="15"/>
        <v>0</v>
      </c>
    </row>
    <row r="14" spans="1:31" x14ac:dyDescent="0.3">
      <c r="B14" s="2">
        <f t="shared" si="5"/>
        <v>2030</v>
      </c>
      <c r="C14" s="3">
        <f t="shared" si="6"/>
        <v>727.8156152596448</v>
      </c>
      <c r="D14" s="3">
        <f t="shared" si="0"/>
        <v>727.8156152596448</v>
      </c>
      <c r="E14" s="3">
        <f t="shared" si="7"/>
        <v>1.4479431603505195</v>
      </c>
      <c r="F14" s="3">
        <f t="shared" si="7"/>
        <v>800</v>
      </c>
      <c r="G14" s="3">
        <f>+'[10]Colector Krahmer I'!$AB$23</f>
        <v>306.74133390098041</v>
      </c>
      <c r="H14" s="3">
        <f t="shared" si="1"/>
        <v>421.07428135866439</v>
      </c>
      <c r="L14" s="9"/>
      <c r="T14" s="56">
        <f t="shared" si="8"/>
        <v>2030</v>
      </c>
      <c r="U14" s="9">
        <f>+'[10]Colector Krahmer I'!$V$26</f>
        <v>31505.836677012347</v>
      </c>
      <c r="V14" s="34">
        <f>+'[10]Colector Krahmer I'!$U$26</f>
        <v>59.519046038907106</v>
      </c>
      <c r="W14" s="44">
        <f t="shared" si="9"/>
        <v>2.4563602642461122</v>
      </c>
      <c r="X14" s="34">
        <f t="shared" si="10"/>
        <v>146.20021965580636</v>
      </c>
      <c r="Y14" s="34">
        <f t="shared" si="11"/>
        <v>11.903809207781421</v>
      </c>
      <c r="Z14" s="34">
        <f t="shared" si="12"/>
        <v>158.10402886358779</v>
      </c>
      <c r="AA14" s="34">
        <f>+'[10]Colector Krahmer I'!$AA$26</f>
        <v>148.63730503739262</v>
      </c>
      <c r="AB14" s="57">
        <f t="shared" si="13"/>
        <v>306.74133390098041</v>
      </c>
      <c r="AD14" s="46">
        <f t="shared" si="14"/>
        <v>306.74133390098041</v>
      </c>
      <c r="AE14" s="34">
        <f t="shared" si="15"/>
        <v>0</v>
      </c>
    </row>
    <row r="15" spans="1:31" x14ac:dyDescent="0.3">
      <c r="B15" s="2">
        <f t="shared" si="5"/>
        <v>2031</v>
      </c>
      <c r="C15" s="3">
        <f t="shared" si="6"/>
        <v>727.8156152596448</v>
      </c>
      <c r="D15" s="3">
        <f t="shared" si="0"/>
        <v>727.8156152596448</v>
      </c>
      <c r="E15" s="3">
        <f t="shared" si="7"/>
        <v>1.4479431603505195</v>
      </c>
      <c r="F15" s="3">
        <f t="shared" si="7"/>
        <v>800</v>
      </c>
      <c r="G15" s="3">
        <f>+'[11]Colector Krahmer I'!$AB$23</f>
        <v>312.73973659264618</v>
      </c>
      <c r="H15" s="3">
        <f t="shared" si="1"/>
        <v>415.07587866699862</v>
      </c>
      <c r="L15" s="9"/>
      <c r="T15" s="56">
        <f t="shared" si="8"/>
        <v>2031</v>
      </c>
      <c r="U15" s="9">
        <f>+'[11]Colector Krahmer I'!$V$26</f>
        <v>31754.425384519742</v>
      </c>
      <c r="V15" s="34">
        <f>+'[11]Colector Krahmer I'!$U$26</f>
        <v>60.777212842559017</v>
      </c>
      <c r="W15" s="44">
        <f t="shared" si="9"/>
        <v>2.4530197444899944</v>
      </c>
      <c r="X15" s="34">
        <f t="shared" si="10"/>
        <v>149.08770311786813</v>
      </c>
      <c r="Y15" s="34">
        <f t="shared" si="11"/>
        <v>12.155442568511804</v>
      </c>
      <c r="Z15" s="34">
        <f t="shared" si="12"/>
        <v>161.24314568637993</v>
      </c>
      <c r="AA15" s="34">
        <f>+'[11]Colector Krahmer I'!$AA$26</f>
        <v>151.49659090626622</v>
      </c>
      <c r="AB15" s="57">
        <f t="shared" si="13"/>
        <v>312.73973659264618</v>
      </c>
      <c r="AD15" s="46">
        <f t="shared" si="14"/>
        <v>312.73973659264618</v>
      </c>
      <c r="AE15" s="34">
        <f t="shared" si="15"/>
        <v>0</v>
      </c>
    </row>
    <row r="16" spans="1:31" x14ac:dyDescent="0.3">
      <c r="B16" s="2">
        <f t="shared" si="5"/>
        <v>2032</v>
      </c>
      <c r="C16" s="3">
        <f t="shared" si="6"/>
        <v>727.8156152596448</v>
      </c>
      <c r="D16" s="3">
        <f t="shared" si="0"/>
        <v>727.8156152596448</v>
      </c>
      <c r="E16" s="3">
        <f t="shared" si="7"/>
        <v>1.4479431603505195</v>
      </c>
      <c r="F16" s="3">
        <f t="shared" si="7"/>
        <v>800</v>
      </c>
      <c r="G16" s="3">
        <f>+'[12]Colector Krahmer I'!$AB$23</f>
        <v>318.80867941444922</v>
      </c>
      <c r="H16" s="3">
        <f t="shared" si="1"/>
        <v>409.00693584519558</v>
      </c>
      <c r="L16" s="9"/>
      <c r="T16" s="56">
        <f t="shared" si="8"/>
        <v>2032</v>
      </c>
      <c r="U16" s="9">
        <f>+'[12]Colector Krahmer I'!$V$26</f>
        <v>32004.332865011263</v>
      </c>
      <c r="V16" s="34">
        <f>+'[12]Colector Krahmer I'!$U$26</f>
        <v>62.051814054428291</v>
      </c>
      <c r="W16" s="44">
        <f t="shared" si="9"/>
        <v>2.4496899779583416</v>
      </c>
      <c r="X16" s="34">
        <f t="shared" si="10"/>
        <v>152.00770700326757</v>
      </c>
      <c r="Y16" s="34">
        <f t="shared" si="11"/>
        <v>12.410362810885658</v>
      </c>
      <c r="Z16" s="34">
        <f t="shared" si="12"/>
        <v>164.41806981415323</v>
      </c>
      <c r="AA16" s="34">
        <f>+'[12]Colector Krahmer I'!$AA$26</f>
        <v>154.39060960029599</v>
      </c>
      <c r="AB16" s="57">
        <f t="shared" si="13"/>
        <v>318.80867941444922</v>
      </c>
      <c r="AD16" s="46">
        <f t="shared" si="14"/>
        <v>318.80867941444922</v>
      </c>
      <c r="AE16" s="34">
        <f t="shared" si="15"/>
        <v>0</v>
      </c>
    </row>
    <row r="17" spans="1:31" x14ac:dyDescent="0.3">
      <c r="B17" s="2">
        <f t="shared" si="5"/>
        <v>2033</v>
      </c>
      <c r="C17" s="3">
        <f t="shared" si="6"/>
        <v>727.8156152596448</v>
      </c>
      <c r="D17" s="3">
        <f t="shared" si="0"/>
        <v>727.8156152596448</v>
      </c>
      <c r="E17" s="3">
        <f t="shared" si="7"/>
        <v>1.4479431603505195</v>
      </c>
      <c r="F17" s="3">
        <f t="shared" si="7"/>
        <v>800</v>
      </c>
      <c r="G17" s="3">
        <f>+'[13]Colector Krahmer I'!$AB$23</f>
        <v>324.88691437247678</v>
      </c>
      <c r="H17" s="3">
        <f t="shared" si="1"/>
        <v>402.92870088716802</v>
      </c>
      <c r="L17" s="9"/>
      <c r="T17" s="56">
        <f t="shared" si="8"/>
        <v>2033</v>
      </c>
      <c r="U17" s="9">
        <f>+'[13]Colector Krahmer I'!$V$26</f>
        <v>32255.778913984264</v>
      </c>
      <c r="V17" s="34">
        <f>+'[13]Colector Krahmer I'!$U$26</f>
        <v>63.331007652085049</v>
      </c>
      <c r="W17" s="44">
        <f t="shared" si="9"/>
        <v>2.4463680834128687</v>
      </c>
      <c r="X17" s="34">
        <f t="shared" si="10"/>
        <v>154.93095581043701</v>
      </c>
      <c r="Y17" s="34">
        <f t="shared" si="11"/>
        <v>12.666201530417011</v>
      </c>
      <c r="Z17" s="34">
        <f t="shared" si="12"/>
        <v>167.59715734085401</v>
      </c>
      <c r="AA17" s="34">
        <f>+'[13]Colector Krahmer I'!$AA$26</f>
        <v>157.28975703162274</v>
      </c>
      <c r="AB17" s="57">
        <f t="shared" si="13"/>
        <v>324.88691437247678</v>
      </c>
      <c r="AD17" s="46">
        <f t="shared" si="14"/>
        <v>324.88691437247678</v>
      </c>
      <c r="AE17" s="34">
        <f t="shared" si="15"/>
        <v>0</v>
      </c>
    </row>
    <row r="18" spans="1:31" x14ac:dyDescent="0.3">
      <c r="B18" s="2">
        <f t="shared" si="5"/>
        <v>2034</v>
      </c>
      <c r="C18" s="3">
        <f t="shared" si="6"/>
        <v>727.8156152596448</v>
      </c>
      <c r="D18" s="3">
        <f t="shared" si="0"/>
        <v>727.8156152596448</v>
      </c>
      <c r="E18" s="3">
        <f t="shared" si="7"/>
        <v>1.4479431603505195</v>
      </c>
      <c r="F18" s="3">
        <f t="shared" si="7"/>
        <v>800</v>
      </c>
      <c r="G18" s="3">
        <f>+'[14]Colector Krahmer I'!$AB$23</f>
        <v>331.02358927576245</v>
      </c>
      <c r="H18" s="3">
        <f t="shared" si="1"/>
        <v>396.79202598388235</v>
      </c>
      <c r="L18" s="9"/>
      <c r="T18" s="56">
        <f t="shared" si="8"/>
        <v>2034</v>
      </c>
      <c r="U18" s="9">
        <f>+'[14]Colector Krahmer I'!$V$26</f>
        <v>32508.104144946683</v>
      </c>
      <c r="V18" s="34">
        <f>+'[14]Colector Krahmer I'!$U$26</f>
        <v>64.624375902248062</v>
      </c>
      <c r="W18" s="44">
        <f t="shared" si="9"/>
        <v>2.4430627439077433</v>
      </c>
      <c r="X18" s="34">
        <f t="shared" si="10"/>
        <v>157.8814051150716</v>
      </c>
      <c r="Y18" s="34">
        <f t="shared" si="11"/>
        <v>12.924875180449613</v>
      </c>
      <c r="Z18" s="34">
        <f t="shared" si="12"/>
        <v>170.80628029552122</v>
      </c>
      <c r="AA18" s="34">
        <f>+'[14]Colector Krahmer I'!$AA$26</f>
        <v>160.21730898024123</v>
      </c>
      <c r="AB18" s="57">
        <f t="shared" si="13"/>
        <v>331.02358927576245</v>
      </c>
      <c r="AD18" s="46">
        <f t="shared" si="14"/>
        <v>331.02358927576245</v>
      </c>
      <c r="AE18" s="34">
        <f t="shared" si="15"/>
        <v>0</v>
      </c>
    </row>
    <row r="19" spans="1:31" x14ac:dyDescent="0.3">
      <c r="B19" s="2">
        <f t="shared" si="5"/>
        <v>2035</v>
      </c>
      <c r="C19" s="3">
        <f t="shared" si="6"/>
        <v>727.8156152596448</v>
      </c>
      <c r="D19" s="3">
        <f t="shared" si="0"/>
        <v>727.8156152596448</v>
      </c>
      <c r="E19" s="3">
        <f t="shared" si="7"/>
        <v>1.4479431603505195</v>
      </c>
      <c r="F19" s="3">
        <f t="shared" si="7"/>
        <v>800</v>
      </c>
      <c r="G19" s="3">
        <f>+'[15]Colector Krahmer I'!$AB$23</f>
        <v>337.2049370705339</v>
      </c>
      <c r="H19" s="3">
        <f t="shared" si="1"/>
        <v>390.6106781891109</v>
      </c>
      <c r="L19" s="9"/>
      <c r="T19" s="56">
        <f t="shared" si="8"/>
        <v>2035</v>
      </c>
      <c r="U19" s="9">
        <f>+'[15]Colector Krahmer I'!$V$26</f>
        <v>32762.187739887937</v>
      </c>
      <c r="V19" s="34">
        <f>+'[15]Colector Krahmer I'!$U$26</f>
        <v>65.929472612453594</v>
      </c>
      <c r="W19" s="44">
        <f t="shared" si="9"/>
        <v>2.4397624494187653</v>
      </c>
      <c r="X19" s="34">
        <f t="shared" si="10"/>
        <v>160.85225158984719</v>
      </c>
      <c r="Y19" s="34">
        <f t="shared" si="11"/>
        <v>13.18589452249072</v>
      </c>
      <c r="Z19" s="34">
        <f t="shared" si="12"/>
        <v>174.0381461123379</v>
      </c>
      <c r="AA19" s="34">
        <f>+'[15]Colector Krahmer I'!$AA$26</f>
        <v>163.16679095819597</v>
      </c>
      <c r="AB19" s="57">
        <f t="shared" si="13"/>
        <v>337.2049370705339</v>
      </c>
      <c r="AD19" s="46">
        <f t="shared" si="14"/>
        <v>337.2049370705339</v>
      </c>
      <c r="AE19" s="34">
        <f t="shared" si="15"/>
        <v>0</v>
      </c>
    </row>
    <row r="20" spans="1:31" x14ac:dyDescent="0.3">
      <c r="B20" s="2">
        <f t="shared" si="5"/>
        <v>2036</v>
      </c>
      <c r="C20" s="3">
        <f t="shared" si="6"/>
        <v>727.8156152596448</v>
      </c>
      <c r="D20" s="3">
        <f t="shared" si="0"/>
        <v>727.8156152596448</v>
      </c>
      <c r="E20" s="3">
        <f t="shared" si="7"/>
        <v>1.4479431603505195</v>
      </c>
      <c r="F20" s="3">
        <f t="shared" si="7"/>
        <v>800</v>
      </c>
      <c r="G20" s="3">
        <f>+'[16]Colector Krahmer I'!$AB$23</f>
        <v>343.45646921741434</v>
      </c>
      <c r="H20" s="3">
        <f t="shared" si="1"/>
        <v>384.35914604223046</v>
      </c>
      <c r="L20" s="9"/>
      <c r="T20" s="56">
        <f t="shared" si="8"/>
        <v>2036</v>
      </c>
      <c r="U20" s="9">
        <f>+'[16]Colector Krahmer I'!$V$26</f>
        <v>33017.37031231595</v>
      </c>
      <c r="V20" s="34">
        <f>+'[16]Colector Krahmer I'!$U$26</f>
        <v>67.251213001740155</v>
      </c>
      <c r="W20" s="44">
        <f t="shared" si="9"/>
        <v>2.4364758068386827</v>
      </c>
      <c r="X20" s="34">
        <f t="shared" si="10"/>
        <v>163.85595345929494</v>
      </c>
      <c r="Y20" s="34">
        <f t="shared" si="11"/>
        <v>13.450242600348032</v>
      </c>
      <c r="Z20" s="34">
        <f t="shared" si="12"/>
        <v>177.30619605964296</v>
      </c>
      <c r="AA20" s="34">
        <f>+'[16]Colector Krahmer I'!$AA$26</f>
        <v>166.15027315777135</v>
      </c>
      <c r="AB20" s="57">
        <f t="shared" si="13"/>
        <v>343.45646921741434</v>
      </c>
      <c r="AD20" s="46">
        <f t="shared" si="14"/>
        <v>343.45646921741434</v>
      </c>
      <c r="AE20" s="34">
        <f t="shared" si="15"/>
        <v>0</v>
      </c>
    </row>
    <row r="21" spans="1:31" ht="13.8" thickBot="1" x14ac:dyDescent="0.35">
      <c r="B21" s="2">
        <f t="shared" si="5"/>
        <v>2037</v>
      </c>
      <c r="C21" s="3">
        <f t="shared" si="6"/>
        <v>727.8156152596448</v>
      </c>
      <c r="D21" s="3">
        <f t="shared" si="0"/>
        <v>727.8156152596448</v>
      </c>
      <c r="E21" s="3">
        <f t="shared" si="7"/>
        <v>1.4479431603505195</v>
      </c>
      <c r="F21" s="3">
        <f t="shared" si="7"/>
        <v>800</v>
      </c>
      <c r="G21" s="3">
        <f>+'[17]Colector Krahmer I'!$AB$23</f>
        <v>349.71511222490813</v>
      </c>
      <c r="H21" s="3">
        <f t="shared" si="1"/>
        <v>378.10050303473668</v>
      </c>
      <c r="I21" s="13">
        <f>+G21/G6-1</f>
        <v>0.35256687475114656</v>
      </c>
      <c r="L21" s="9"/>
      <c r="M21" s="8"/>
      <c r="T21" s="58">
        <f t="shared" si="8"/>
        <v>2037</v>
      </c>
      <c r="U21" s="59">
        <f>+'[17]Colector Krahmer I'!$V$26</f>
        <v>33274.091453225454</v>
      </c>
      <c r="V21" s="60">
        <f>+'[17]Colector Krahmer I'!$U$26</f>
        <v>68.577191500621367</v>
      </c>
      <c r="W21" s="61">
        <f t="shared" si="9"/>
        <v>2.4331971582449725</v>
      </c>
      <c r="X21" s="60">
        <f t="shared" si="10"/>
        <v>166.86182747973319</v>
      </c>
      <c r="Y21" s="60">
        <f t="shared" si="11"/>
        <v>13.715438300124275</v>
      </c>
      <c r="Z21" s="60">
        <f t="shared" si="12"/>
        <v>180.57726577985747</v>
      </c>
      <c r="AA21" s="60">
        <f>+'[17]Colector Krahmer I'!$AA$26</f>
        <v>169.13784644505068</v>
      </c>
      <c r="AB21" s="62">
        <f t="shared" si="13"/>
        <v>349.71511222490813</v>
      </c>
      <c r="AD21" s="46">
        <f t="shared" si="14"/>
        <v>349.71511222490813</v>
      </c>
      <c r="AE21" s="34">
        <f t="shared" si="15"/>
        <v>0</v>
      </c>
    </row>
    <row r="22" spans="1:31" x14ac:dyDescent="0.3">
      <c r="L22" s="9"/>
    </row>
    <row r="23" spans="1:31" x14ac:dyDescent="0.3">
      <c r="L23" s="9"/>
    </row>
    <row r="25" spans="1:31" x14ac:dyDescent="0.3">
      <c r="B25" s="5" t="s">
        <v>41</v>
      </c>
      <c r="E25" s="6" t="s">
        <v>7</v>
      </c>
      <c r="F25" s="7">
        <f>+SUM('[17]Colector Krahmer I'!$M$24:$M$26)</f>
        <v>207.49</v>
      </c>
      <c r="G25" s="8" t="s">
        <v>8</v>
      </c>
      <c r="L25" s="5" t="s">
        <v>84</v>
      </c>
      <c r="O25" s="6"/>
      <c r="P25" s="7"/>
      <c r="Q25" s="8"/>
    </row>
    <row r="26" spans="1:31" x14ac:dyDescent="0.3">
      <c r="B26" s="8" t="s">
        <v>83</v>
      </c>
      <c r="L26" s="8" t="s">
        <v>83</v>
      </c>
    </row>
    <row r="27" spans="1:31" x14ac:dyDescent="0.3">
      <c r="B27" s="96" t="s">
        <v>0</v>
      </c>
      <c r="C27" s="96" t="s">
        <v>20</v>
      </c>
      <c r="D27" s="96" t="s">
        <v>1</v>
      </c>
      <c r="E27" s="96"/>
      <c r="F27" s="96"/>
      <c r="G27" s="96" t="s">
        <v>21</v>
      </c>
      <c r="H27" s="96" t="s">
        <v>2</v>
      </c>
      <c r="L27" s="96" t="s">
        <v>0</v>
      </c>
      <c r="M27" s="96" t="s">
        <v>13</v>
      </c>
      <c r="N27" s="97" t="s">
        <v>14</v>
      </c>
      <c r="O27" s="98"/>
      <c r="P27" s="98"/>
      <c r="Q27" s="99"/>
      <c r="R27" s="100" t="s">
        <v>19</v>
      </c>
    </row>
    <row r="28" spans="1:31" x14ac:dyDescent="0.3">
      <c r="B28" s="96"/>
      <c r="C28" s="96"/>
      <c r="D28" s="18" t="s">
        <v>3</v>
      </c>
      <c r="E28" s="18" t="s">
        <v>4</v>
      </c>
      <c r="F28" s="18" t="s">
        <v>5</v>
      </c>
      <c r="G28" s="96"/>
      <c r="H28" s="96"/>
      <c r="L28" s="96"/>
      <c r="M28" s="96"/>
      <c r="N28" s="18" t="s">
        <v>17</v>
      </c>
      <c r="O28" s="18" t="s">
        <v>16</v>
      </c>
      <c r="P28" s="18" t="s">
        <v>15</v>
      </c>
      <c r="Q28" s="18" t="s">
        <v>18</v>
      </c>
      <c r="R28" s="101"/>
    </row>
    <row r="29" spans="1:31" x14ac:dyDescent="0.3">
      <c r="A29" s="12" t="s">
        <v>6</v>
      </c>
      <c r="B29" s="2">
        <f>+B6</f>
        <v>2022</v>
      </c>
      <c r="C29" s="3">
        <f>+SUMPRODUCT('[17]Colector Krahmer I'!$AL$24:$AL$26,'[17]Colector Krahmer I'!$M$24:$M$26)/F25</f>
        <v>318.46222636789207</v>
      </c>
      <c r="D29" s="3">
        <f t="shared" ref="D29:D44" si="16">+C29</f>
        <v>318.46222636789207</v>
      </c>
      <c r="E29" s="3">
        <f>D29/(0.25*PI()*(F29/1000)^2)/1000</f>
        <v>0.63356046893125184</v>
      </c>
      <c r="F29" s="3">
        <f>+SUMPRODUCT('[17]Colector Krahmer I'!$F$24:$F$26,'[17]Colector Krahmer I'!$M$24:$M$26)/F25</f>
        <v>800</v>
      </c>
      <c r="G29" s="3">
        <f>+'[2]Colector Krahmer I'!$AB$26</f>
        <v>258.55661465112462</v>
      </c>
      <c r="H29" s="3">
        <f t="shared" ref="H29:H44" si="17">+D29-G29</f>
        <v>59.905611716767453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31" x14ac:dyDescent="0.3">
      <c r="B30" s="2">
        <f t="shared" ref="B30:B44" si="18">+B29+1</f>
        <v>2023</v>
      </c>
      <c r="C30" s="3">
        <f t="shared" ref="C30:C44" si="19">+C29</f>
        <v>318.46222636789207</v>
      </c>
      <c r="D30" s="3">
        <f t="shared" si="16"/>
        <v>318.46222636789207</v>
      </c>
      <c r="E30" s="3">
        <f t="shared" ref="E30:E44" si="20">+E29</f>
        <v>0.63356046893125184</v>
      </c>
      <c r="F30" s="3">
        <f t="shared" ref="F30:F44" si="21">+F29</f>
        <v>800</v>
      </c>
      <c r="G30" s="3">
        <f>+'[3]Colector Krahmer I'!$AB$26</f>
        <v>266.18188536451669</v>
      </c>
      <c r="H30" s="3">
        <f t="shared" si="17"/>
        <v>52.280341003375383</v>
      </c>
      <c r="L30" s="2">
        <f t="shared" ref="L30:L44" si="22">+L29+1</f>
        <v>2023</v>
      </c>
      <c r="M30" s="1"/>
      <c r="N30" s="14"/>
      <c r="O30" s="14"/>
      <c r="P30" s="14"/>
      <c r="Q30" s="14"/>
      <c r="R30" s="1"/>
    </row>
    <row r="31" spans="1:31" x14ac:dyDescent="0.3">
      <c r="B31" s="2">
        <f t="shared" si="18"/>
        <v>2024</v>
      </c>
      <c r="C31" s="3">
        <f t="shared" si="19"/>
        <v>318.46222636789207</v>
      </c>
      <c r="D31" s="3">
        <f t="shared" si="16"/>
        <v>318.46222636789207</v>
      </c>
      <c r="E31" s="3">
        <f t="shared" si="20"/>
        <v>0.63356046893125184</v>
      </c>
      <c r="F31" s="3">
        <f t="shared" si="21"/>
        <v>800</v>
      </c>
      <c r="G31" s="3">
        <f>+'[4]Colector Krahmer I'!$AB$26</f>
        <v>271.85390597901772</v>
      </c>
      <c r="H31" s="3">
        <f t="shared" si="17"/>
        <v>46.608320388874347</v>
      </c>
      <c r="L31" s="2">
        <f t="shared" si="22"/>
        <v>2024</v>
      </c>
      <c r="M31" s="1"/>
      <c r="N31" s="4"/>
      <c r="O31" s="3"/>
      <c r="P31" s="1"/>
      <c r="Q31" s="3"/>
      <c r="R31" s="1"/>
    </row>
    <row r="32" spans="1:31" x14ac:dyDescent="0.3">
      <c r="B32" s="2">
        <f t="shared" si="18"/>
        <v>2025</v>
      </c>
      <c r="C32" s="3">
        <f t="shared" si="19"/>
        <v>318.46222636789207</v>
      </c>
      <c r="D32" s="3">
        <f t="shared" si="16"/>
        <v>318.46222636789207</v>
      </c>
      <c r="E32" s="3">
        <f t="shared" si="20"/>
        <v>0.63356046893125184</v>
      </c>
      <c r="F32" s="3">
        <f t="shared" si="21"/>
        <v>800</v>
      </c>
      <c r="G32" s="3">
        <f>+'[5]Colector Krahmer I'!$AB$26</f>
        <v>277.54069804699634</v>
      </c>
      <c r="H32" s="3">
        <f t="shared" si="17"/>
        <v>40.921528320895732</v>
      </c>
      <c r="L32" s="2">
        <f t="shared" si="22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18"/>
        <v>2026</v>
      </c>
      <c r="C33" s="3">
        <f t="shared" si="19"/>
        <v>318.46222636789207</v>
      </c>
      <c r="D33" s="3">
        <f t="shared" si="16"/>
        <v>318.46222636789207</v>
      </c>
      <c r="E33" s="3">
        <f t="shared" si="20"/>
        <v>0.63356046893125184</v>
      </c>
      <c r="F33" s="3">
        <f t="shared" si="21"/>
        <v>800</v>
      </c>
      <c r="G33" s="3">
        <f>+'[6]Colector Krahmer I'!$AB$26</f>
        <v>283.28517632601847</v>
      </c>
      <c r="H33" s="3">
        <f t="shared" si="17"/>
        <v>35.177050041873599</v>
      </c>
      <c r="L33" s="2">
        <f t="shared" si="22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18"/>
        <v>2027</v>
      </c>
      <c r="C34" s="3">
        <f t="shared" si="19"/>
        <v>318.46222636789207</v>
      </c>
      <c r="D34" s="3">
        <f t="shared" si="16"/>
        <v>318.46222636789207</v>
      </c>
      <c r="E34" s="3">
        <f t="shared" si="20"/>
        <v>0.63356046893125184</v>
      </c>
      <c r="F34" s="3">
        <f t="shared" si="21"/>
        <v>800</v>
      </c>
      <c r="G34" s="3">
        <f>+'[7]Colector Krahmer I'!$AB$26</f>
        <v>289.07655026370594</v>
      </c>
      <c r="H34" s="3">
        <f t="shared" si="17"/>
        <v>29.385676104186132</v>
      </c>
      <c r="L34" s="2">
        <f t="shared" si="22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18"/>
        <v>2028</v>
      </c>
      <c r="C35" s="3">
        <f t="shared" si="19"/>
        <v>318.46222636789207</v>
      </c>
      <c r="D35" s="3">
        <f t="shared" si="16"/>
        <v>318.46222636789207</v>
      </c>
      <c r="E35" s="3">
        <f t="shared" si="20"/>
        <v>0.63356046893125184</v>
      </c>
      <c r="F35" s="3">
        <f t="shared" si="21"/>
        <v>800</v>
      </c>
      <c r="G35" s="3">
        <f>+'[8]Colector Krahmer I'!$AB$26</f>
        <v>294.93713462469395</v>
      </c>
      <c r="H35" s="3">
        <f t="shared" si="17"/>
        <v>23.525091743198118</v>
      </c>
      <c r="L35" s="2">
        <f t="shared" si="22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18"/>
        <v>2029</v>
      </c>
      <c r="C36" s="3">
        <f t="shared" si="19"/>
        <v>318.46222636789207</v>
      </c>
      <c r="D36" s="3">
        <f t="shared" si="16"/>
        <v>318.46222636789207</v>
      </c>
      <c r="E36" s="3">
        <f t="shared" si="20"/>
        <v>0.63356046893125184</v>
      </c>
      <c r="F36" s="3">
        <f t="shared" si="21"/>
        <v>800</v>
      </c>
      <c r="G36" s="3">
        <f>+'[9]Colector Krahmer I'!$AB$26</f>
        <v>300.81032093255783</v>
      </c>
      <c r="H36" s="3">
        <f t="shared" si="17"/>
        <v>17.651905435334243</v>
      </c>
      <c r="L36" s="2">
        <f t="shared" si="22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18"/>
        <v>2030</v>
      </c>
      <c r="C37" s="3">
        <f t="shared" si="19"/>
        <v>318.46222636789207</v>
      </c>
      <c r="D37" s="3">
        <f t="shared" si="16"/>
        <v>318.46222636789207</v>
      </c>
      <c r="E37" s="3">
        <f t="shared" si="20"/>
        <v>0.63356046893125184</v>
      </c>
      <c r="F37" s="3">
        <f t="shared" si="21"/>
        <v>800</v>
      </c>
      <c r="G37" s="3">
        <f>+'[10]Colector Krahmer I'!$AB$26</f>
        <v>306.74133390098041</v>
      </c>
      <c r="H37" s="3">
        <f t="shared" si="17"/>
        <v>11.720892466911664</v>
      </c>
      <c r="L37" s="2">
        <f t="shared" si="22"/>
        <v>2030</v>
      </c>
      <c r="M37" s="1"/>
      <c r="N37" s="4"/>
      <c r="O37" s="3"/>
      <c r="P37" s="1"/>
      <c r="Q37" s="1"/>
      <c r="R37" s="1"/>
    </row>
    <row r="38" spans="2:19" x14ac:dyDescent="0.3">
      <c r="B38" s="2">
        <f t="shared" si="18"/>
        <v>2031</v>
      </c>
      <c r="C38" s="3">
        <f t="shared" si="19"/>
        <v>318.46222636789207</v>
      </c>
      <c r="D38" s="3">
        <f t="shared" si="16"/>
        <v>318.46222636789207</v>
      </c>
      <c r="E38" s="3">
        <f t="shared" si="20"/>
        <v>0.63356046893125184</v>
      </c>
      <c r="F38" s="3">
        <f t="shared" si="21"/>
        <v>800</v>
      </c>
      <c r="G38" s="3">
        <f>+'[11]Colector Krahmer I'!$AB$26</f>
        <v>312.73973659264618</v>
      </c>
      <c r="H38" s="3">
        <f t="shared" si="17"/>
        <v>5.7224897752458901</v>
      </c>
      <c r="L38" s="2">
        <f t="shared" si="22"/>
        <v>2031</v>
      </c>
      <c r="M38" s="3" t="str">
        <f t="shared" ref="M38:M41" si="23">IF(H38&gt;0,"-",-H38)</f>
        <v>-</v>
      </c>
      <c r="N38" s="4"/>
      <c r="O38" s="3"/>
      <c r="P38" s="1"/>
      <c r="Q38" s="1"/>
      <c r="R38" s="1"/>
    </row>
    <row r="39" spans="2:19" x14ac:dyDescent="0.3">
      <c r="B39" s="2">
        <f t="shared" si="18"/>
        <v>2032</v>
      </c>
      <c r="C39" s="3">
        <f t="shared" si="19"/>
        <v>318.46222636789207</v>
      </c>
      <c r="D39" s="3">
        <f t="shared" si="16"/>
        <v>318.46222636789207</v>
      </c>
      <c r="E39" s="3">
        <f t="shared" si="20"/>
        <v>0.63356046893125184</v>
      </c>
      <c r="F39" s="3">
        <f t="shared" si="21"/>
        <v>800</v>
      </c>
      <c r="G39" s="3">
        <f>+'[12]Colector Krahmer I'!$AB$26</f>
        <v>318.80867941444922</v>
      </c>
      <c r="H39" s="3">
        <f t="shared" si="17"/>
        <v>-0.34645304655714426</v>
      </c>
      <c r="L39" s="2">
        <f t="shared" si="22"/>
        <v>2032</v>
      </c>
      <c r="M39" s="3">
        <f t="shared" si="23"/>
        <v>0.34645304655714426</v>
      </c>
      <c r="N39" s="4">
        <f>+F25</f>
        <v>207.49</v>
      </c>
      <c r="O39" s="3">
        <f>+'[17]Colector Krahmer I (c_Proy)'!$E$66</f>
        <v>500</v>
      </c>
      <c r="P39" s="3">
        <f>+'[17]Colector Krahmer I (c_Proy)'!$AL$66</f>
        <v>91.905863066909774</v>
      </c>
      <c r="Q39" s="3">
        <f>+Q42</f>
        <v>0.54966509106302808</v>
      </c>
      <c r="R39" s="3">
        <f t="shared" ref="R39:R41" si="24">+P39-M39</f>
        <v>91.55941002035263</v>
      </c>
    </row>
    <row r="40" spans="2:19" x14ac:dyDescent="0.3">
      <c r="B40" s="2">
        <f t="shared" si="18"/>
        <v>2033</v>
      </c>
      <c r="C40" s="3">
        <f t="shared" si="19"/>
        <v>318.46222636789207</v>
      </c>
      <c r="D40" s="3">
        <f t="shared" si="16"/>
        <v>318.46222636789207</v>
      </c>
      <c r="E40" s="3">
        <f t="shared" si="20"/>
        <v>0.63356046893125184</v>
      </c>
      <c r="F40" s="3">
        <f t="shared" si="21"/>
        <v>800</v>
      </c>
      <c r="G40" s="3">
        <f>+'[13]Colector Krahmer I'!$AB$26</f>
        <v>324.88691437247678</v>
      </c>
      <c r="H40" s="3">
        <f t="shared" si="17"/>
        <v>-6.4246880045847092</v>
      </c>
      <c r="L40" s="2">
        <f t="shared" si="22"/>
        <v>2033</v>
      </c>
      <c r="M40" s="3">
        <f t="shared" si="23"/>
        <v>6.4246880045847092</v>
      </c>
      <c r="N40" s="4">
        <f t="shared" ref="N40:Q41" si="25">+N39</f>
        <v>207.49</v>
      </c>
      <c r="O40" s="3">
        <f t="shared" si="25"/>
        <v>500</v>
      </c>
      <c r="P40" s="3">
        <f t="shared" si="25"/>
        <v>91.905863066909774</v>
      </c>
      <c r="Q40" s="3">
        <f t="shared" si="25"/>
        <v>0.54966509106302808</v>
      </c>
      <c r="R40" s="3">
        <f t="shared" si="24"/>
        <v>85.481175062325065</v>
      </c>
    </row>
    <row r="41" spans="2:19" x14ac:dyDescent="0.3">
      <c r="B41" s="2">
        <f t="shared" si="18"/>
        <v>2034</v>
      </c>
      <c r="C41" s="3">
        <f t="shared" si="19"/>
        <v>318.46222636789207</v>
      </c>
      <c r="D41" s="3">
        <f t="shared" si="16"/>
        <v>318.46222636789207</v>
      </c>
      <c r="E41" s="3">
        <f t="shared" si="20"/>
        <v>0.63356046893125184</v>
      </c>
      <c r="F41" s="3">
        <f t="shared" si="21"/>
        <v>800</v>
      </c>
      <c r="G41" s="3">
        <f>+'[14]Colector Krahmer I'!$AB$26</f>
        <v>331.02358927576245</v>
      </c>
      <c r="H41" s="3">
        <f t="shared" si="17"/>
        <v>-12.561362907870375</v>
      </c>
      <c r="L41" s="2">
        <f t="shared" si="22"/>
        <v>2034</v>
      </c>
      <c r="M41" s="3">
        <f t="shared" si="23"/>
        <v>12.561362907870375</v>
      </c>
      <c r="N41" s="4">
        <f t="shared" si="25"/>
        <v>207.49</v>
      </c>
      <c r="O41" s="3">
        <f t="shared" si="25"/>
        <v>500</v>
      </c>
      <c r="P41" s="3">
        <f t="shared" si="25"/>
        <v>91.905863066909774</v>
      </c>
      <c r="Q41" s="3">
        <f t="shared" si="25"/>
        <v>0.54966509106302808</v>
      </c>
      <c r="R41" s="3">
        <f t="shared" si="24"/>
        <v>79.344500159039399</v>
      </c>
    </row>
    <row r="42" spans="2:19" x14ac:dyDescent="0.3">
      <c r="B42" s="2">
        <f t="shared" si="18"/>
        <v>2035</v>
      </c>
      <c r="C42" s="3">
        <f t="shared" si="19"/>
        <v>318.46222636789207</v>
      </c>
      <c r="D42" s="3">
        <f t="shared" si="16"/>
        <v>318.46222636789207</v>
      </c>
      <c r="E42" s="3">
        <f t="shared" si="20"/>
        <v>0.63356046893125184</v>
      </c>
      <c r="F42" s="3">
        <f t="shared" si="21"/>
        <v>800</v>
      </c>
      <c r="G42" s="3">
        <f>+'[15]Colector Krahmer I'!$AB$26</f>
        <v>337.2049370705339</v>
      </c>
      <c r="H42" s="3">
        <f t="shared" si="17"/>
        <v>-18.74271070264183</v>
      </c>
      <c r="L42" s="2">
        <f t="shared" si="22"/>
        <v>2035</v>
      </c>
      <c r="M42" s="3">
        <f t="shared" ref="M42:M43" si="26">IF(H42&gt;0,"-",-H42)</f>
        <v>18.74271070264183</v>
      </c>
      <c r="N42" s="4">
        <f>+F25</f>
        <v>207.49</v>
      </c>
      <c r="O42" s="3">
        <f>+'[17]Colector Krahmer I (c_Proy)'!$E$66</f>
        <v>500</v>
      </c>
      <c r="P42" s="3">
        <f>+'[17]Colector Krahmer I (c_Proy)'!$AL$66</f>
        <v>91.905863066909774</v>
      </c>
      <c r="Q42" s="3">
        <f>+P42/(1000)/(0.25*PI()*(S42/1000)^2)</f>
        <v>0.54966509106302808</v>
      </c>
      <c r="R42" s="3">
        <f t="shared" ref="R42:R43" si="27">+P42-M42</f>
        <v>73.163152364267944</v>
      </c>
      <c r="S42" s="12">
        <f>+'[17]Colector Krahmer I (c_Proy)'!$F$66</f>
        <v>461.4</v>
      </c>
    </row>
    <row r="43" spans="2:19" x14ac:dyDescent="0.3">
      <c r="B43" s="2">
        <f t="shared" si="18"/>
        <v>2036</v>
      </c>
      <c r="C43" s="3">
        <f t="shared" si="19"/>
        <v>318.46222636789207</v>
      </c>
      <c r="D43" s="3">
        <f t="shared" si="16"/>
        <v>318.46222636789207</v>
      </c>
      <c r="E43" s="3">
        <f t="shared" si="20"/>
        <v>0.63356046893125184</v>
      </c>
      <c r="F43" s="3">
        <f t="shared" si="21"/>
        <v>800</v>
      </c>
      <c r="G43" s="3">
        <f>+'[16]Colector Krahmer I'!$AB$26</f>
        <v>343.45646921741434</v>
      </c>
      <c r="H43" s="3">
        <f t="shared" si="17"/>
        <v>-24.994242849522266</v>
      </c>
      <c r="L43" s="2">
        <f t="shared" si="22"/>
        <v>2036</v>
      </c>
      <c r="M43" s="3">
        <f t="shared" si="26"/>
        <v>24.994242849522266</v>
      </c>
      <c r="N43" s="4">
        <f>+N42</f>
        <v>207.49</v>
      </c>
      <c r="O43" s="3">
        <f t="shared" ref="O43:O44" si="28">+O42</f>
        <v>500</v>
      </c>
      <c r="P43" s="3">
        <f t="shared" ref="P43:P44" si="29">+P42</f>
        <v>91.905863066909774</v>
      </c>
      <c r="Q43" s="3">
        <f t="shared" ref="Q43:Q44" si="30">+Q42</f>
        <v>0.54966509106302808</v>
      </c>
      <c r="R43" s="3">
        <f t="shared" si="27"/>
        <v>66.911620217387508</v>
      </c>
    </row>
    <row r="44" spans="2:19" x14ac:dyDescent="0.3">
      <c r="B44" s="2">
        <f t="shared" si="18"/>
        <v>2037</v>
      </c>
      <c r="C44" s="3">
        <f t="shared" si="19"/>
        <v>318.46222636789207</v>
      </c>
      <c r="D44" s="3">
        <f t="shared" si="16"/>
        <v>318.46222636789207</v>
      </c>
      <c r="E44" s="3">
        <f t="shared" si="20"/>
        <v>0.63356046893125184</v>
      </c>
      <c r="F44" s="3">
        <f t="shared" si="21"/>
        <v>800</v>
      </c>
      <c r="G44" s="3">
        <f>+'[17]Colector Krahmer I'!$AB$26</f>
        <v>349.71511222490813</v>
      </c>
      <c r="H44" s="3">
        <f t="shared" si="17"/>
        <v>-31.252885857016054</v>
      </c>
      <c r="I44" s="13">
        <f>+G44/G29-1</f>
        <v>0.35256687475114656</v>
      </c>
      <c r="L44" s="2">
        <f t="shared" si="22"/>
        <v>2037</v>
      </c>
      <c r="M44" s="3">
        <f>IF(H44&gt;0,"-",-H44)</f>
        <v>31.252885857016054</v>
      </c>
      <c r="N44" s="4">
        <f>+N43</f>
        <v>207.49</v>
      </c>
      <c r="O44" s="3">
        <f t="shared" si="28"/>
        <v>500</v>
      </c>
      <c r="P44" s="3">
        <f t="shared" si="29"/>
        <v>91.905863066909774</v>
      </c>
      <c r="Q44" s="3">
        <f t="shared" si="30"/>
        <v>0.54966509106302808</v>
      </c>
      <c r="R44" s="3">
        <f>+P44-M44</f>
        <v>60.65297720989372</v>
      </c>
    </row>
  </sheetData>
  <mergeCells count="14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48</v>
      </c>
      <c r="E2" s="6" t="s">
        <v>7</v>
      </c>
      <c r="F2" s="7">
        <f>+'[17]Colector Escobar Phillipi'!$N$19</f>
        <v>98.080000000000013</v>
      </c>
      <c r="G2" s="8" t="s">
        <v>8</v>
      </c>
      <c r="I2" s="16" t="s">
        <v>65</v>
      </c>
      <c r="J2" s="17">
        <v>97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110</v>
      </c>
      <c r="P3" s="12" t="s">
        <v>111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112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Baquedano'!B6</f>
        <v>2022</v>
      </c>
      <c r="C6" s="3">
        <f>+SUMPRODUCT('[17]Colector Escobar Phillipi'!$AL$17:$AL$19,'[17]Colector Escobar Phillipi'!$M$17:$M$19)/F2</f>
        <v>57.98939816604743</v>
      </c>
      <c r="D6" s="3">
        <f t="shared" ref="D6:D21" si="0">+C6</f>
        <v>57.98939816604743</v>
      </c>
      <c r="E6" s="3">
        <f>D6/(0.25*PI()*(F6/1000)^2)/1000</f>
        <v>0.83929846100722005</v>
      </c>
      <c r="F6" s="3">
        <f>+SUMPRODUCT('[17]Colector Escobar Phillipi'!$F$17:$F$19,'[17]Colector Escobar Phillipi'!$M$17:$M$19)/F2</f>
        <v>296.59999999999997</v>
      </c>
      <c r="G6" s="3">
        <f>+'[2]Colector Escobar Phillipi'!$AB$19</f>
        <v>4.3040072378736172</v>
      </c>
      <c r="H6" s="3">
        <f t="shared" ref="H6:H21" si="1">+D6-G6</f>
        <v>53.68539092817381</v>
      </c>
      <c r="L6" s="56">
        <f>+B6</f>
        <v>2022</v>
      </c>
      <c r="M6" s="9"/>
      <c r="N6" s="44">
        <f>1+(14/(4+(SQRT(L6/1000))))</f>
        <v>3.5820871016171232</v>
      </c>
      <c r="O6" s="34">
        <f>+N6*M6</f>
        <v>0</v>
      </c>
      <c r="P6" s="34">
        <f t="shared" ref="P6:P21" si="2">+M6*$P$4</f>
        <v>0</v>
      </c>
      <c r="S6" s="34">
        <f>+'[2]Colector Escobar Phillipi'!$AA$17</f>
        <v>4.3040072378736172</v>
      </c>
      <c r="T6" s="57">
        <f>+R6+S6</f>
        <v>4.3040072378736172</v>
      </c>
      <c r="V6" s="46">
        <f t="shared" ref="V6:V21" si="3">+G6</f>
        <v>4.3040072378736172</v>
      </c>
      <c r="W6" s="46">
        <f>+T6-V6</f>
        <v>0</v>
      </c>
    </row>
    <row r="7" spans="1:23" x14ac:dyDescent="0.3">
      <c r="B7" s="2">
        <f t="shared" ref="B7:B21" si="4">+B6+1</f>
        <v>2023</v>
      </c>
      <c r="C7" s="3">
        <f t="shared" ref="C7:C21" si="5">+C6</f>
        <v>57.98939816604743</v>
      </c>
      <c r="D7" s="3">
        <f t="shared" si="0"/>
        <v>57.98939816604743</v>
      </c>
      <c r="E7" s="3">
        <f t="shared" ref="E7:F21" si="6">+E6</f>
        <v>0.83929846100722005</v>
      </c>
      <c r="F7" s="3">
        <f t="shared" si="6"/>
        <v>296.59999999999997</v>
      </c>
      <c r="G7" s="3">
        <f>+'[3]Colector Escobar Phillipi'!$AB$19</f>
        <v>4.3400057020378275</v>
      </c>
      <c r="H7" s="3">
        <f t="shared" si="1"/>
        <v>53.649392464009601</v>
      </c>
      <c r="L7" s="56">
        <f t="shared" ref="L7:L21" si="7">+B7</f>
        <v>2023</v>
      </c>
      <c r="M7" s="9"/>
      <c r="N7" s="44">
        <f t="shared" ref="N7:N21" si="8">1+(14/(4+(SQRT(L7/1000))))</f>
        <v>3.5819196800807758</v>
      </c>
      <c r="O7" s="34">
        <f t="shared" ref="O7:O21" si="9">+N7*M7</f>
        <v>0</v>
      </c>
      <c r="P7" s="34">
        <f t="shared" si="2"/>
        <v>0</v>
      </c>
      <c r="S7" s="34">
        <f>+'[3]Colector Escobar Phillipi'!$AA$17</f>
        <v>4.3400057020378275</v>
      </c>
      <c r="T7" s="57">
        <f t="shared" ref="T7:T21" si="10">+R7+S7</f>
        <v>4.3400057020378275</v>
      </c>
      <c r="V7" s="46">
        <f t="shared" si="3"/>
        <v>4.3400057020378275</v>
      </c>
      <c r="W7" s="46">
        <f t="shared" ref="W7:W21" si="11">+T7-V7</f>
        <v>0</v>
      </c>
    </row>
    <row r="8" spans="1:23" x14ac:dyDescent="0.3">
      <c r="B8" s="2">
        <f t="shared" si="4"/>
        <v>2024</v>
      </c>
      <c r="C8" s="3">
        <f t="shared" si="5"/>
        <v>57.98939816604743</v>
      </c>
      <c r="D8" s="3">
        <f t="shared" si="0"/>
        <v>57.98939816604743</v>
      </c>
      <c r="E8" s="3">
        <f t="shared" si="6"/>
        <v>0.83929846100722005</v>
      </c>
      <c r="F8" s="3">
        <f t="shared" si="6"/>
        <v>296.59999999999997</v>
      </c>
      <c r="G8" s="3">
        <f>+'[4]Colector Escobar Phillipi'!$AB$19</f>
        <v>4.3685993452848875</v>
      </c>
      <c r="H8" s="3">
        <f t="shared" si="1"/>
        <v>53.620798820762545</v>
      </c>
      <c r="L8" s="56">
        <f t="shared" si="7"/>
        <v>2024</v>
      </c>
      <c r="M8" s="9"/>
      <c r="N8" s="44">
        <f t="shared" si="8"/>
        <v>3.5817523216204785</v>
      </c>
      <c r="O8" s="34">
        <f t="shared" si="9"/>
        <v>0</v>
      </c>
      <c r="P8" s="34">
        <f t="shared" si="2"/>
        <v>0</v>
      </c>
      <c r="S8" s="34">
        <f>+'[4]Colector Escobar Phillipi'!$AA$17</f>
        <v>4.3685993452848875</v>
      </c>
      <c r="T8" s="57">
        <f t="shared" si="10"/>
        <v>4.3685993452848875</v>
      </c>
      <c r="V8" s="46">
        <f t="shared" si="3"/>
        <v>4.3685993452848875</v>
      </c>
      <c r="W8" s="46">
        <f t="shared" si="11"/>
        <v>0</v>
      </c>
    </row>
    <row r="9" spans="1:23" x14ac:dyDescent="0.3">
      <c r="B9" s="2">
        <f t="shared" si="4"/>
        <v>2025</v>
      </c>
      <c r="C9" s="3">
        <f t="shared" si="5"/>
        <v>57.98939816604743</v>
      </c>
      <c r="D9" s="3">
        <f t="shared" si="0"/>
        <v>57.98939816604743</v>
      </c>
      <c r="E9" s="3">
        <f t="shared" si="6"/>
        <v>0.83929846100722005</v>
      </c>
      <c r="F9" s="3">
        <f t="shared" si="6"/>
        <v>296.59999999999997</v>
      </c>
      <c r="G9" s="3">
        <f>+'[5]Colector Escobar Phillipi'!$AB$19</f>
        <v>4.3976125505768024</v>
      </c>
      <c r="H9" s="3">
        <f t="shared" si="1"/>
        <v>53.591785615470627</v>
      </c>
      <c r="L9" s="56">
        <f t="shared" si="7"/>
        <v>2025</v>
      </c>
      <c r="M9" s="9"/>
      <c r="N9" s="44">
        <f t="shared" si="8"/>
        <v>3.5815850261852744</v>
      </c>
      <c r="O9" s="34">
        <f t="shared" si="9"/>
        <v>0</v>
      </c>
      <c r="P9" s="34">
        <f t="shared" si="2"/>
        <v>0</v>
      </c>
      <c r="S9" s="34">
        <f>+'[5]Colector Escobar Phillipi'!$AA$17</f>
        <v>4.3976125505768024</v>
      </c>
      <c r="T9" s="57">
        <f t="shared" si="10"/>
        <v>4.3976125505768024</v>
      </c>
      <c r="V9" s="46">
        <f t="shared" si="3"/>
        <v>4.3976125505768024</v>
      </c>
      <c r="W9" s="46">
        <f t="shared" si="11"/>
        <v>0</v>
      </c>
    </row>
    <row r="10" spans="1:23" x14ac:dyDescent="0.3">
      <c r="B10" s="2">
        <f t="shared" si="4"/>
        <v>2026</v>
      </c>
      <c r="C10" s="3">
        <f t="shared" si="5"/>
        <v>57.98939816604743</v>
      </c>
      <c r="D10" s="3">
        <f t="shared" si="0"/>
        <v>57.98939816604743</v>
      </c>
      <c r="E10" s="3">
        <f t="shared" si="6"/>
        <v>0.83929846100722005</v>
      </c>
      <c r="F10" s="3">
        <f t="shared" si="6"/>
        <v>296.59999999999997</v>
      </c>
      <c r="G10" s="3">
        <f>+'[6]Colector Escobar Phillipi'!$AB$19</f>
        <v>4.427230964174373</v>
      </c>
      <c r="H10" s="3">
        <f t="shared" si="1"/>
        <v>53.562167201873059</v>
      </c>
      <c r="L10" s="56">
        <f t="shared" si="7"/>
        <v>2026</v>
      </c>
      <c r="M10" s="9"/>
      <c r="N10" s="44">
        <f t="shared" si="8"/>
        <v>3.5814177937242695</v>
      </c>
      <c r="O10" s="34">
        <f t="shared" si="9"/>
        <v>0</v>
      </c>
      <c r="P10" s="34">
        <f t="shared" si="2"/>
        <v>0</v>
      </c>
      <c r="S10" s="34">
        <f>+'[6]Colector Escobar Phillipi'!$AA$17</f>
        <v>4.427230964174373</v>
      </c>
      <c r="T10" s="57">
        <f t="shared" si="10"/>
        <v>4.427230964174373</v>
      </c>
      <c r="V10" s="46">
        <f t="shared" si="3"/>
        <v>4.427230964174373</v>
      </c>
      <c r="W10" s="46">
        <f t="shared" si="11"/>
        <v>0</v>
      </c>
    </row>
    <row r="11" spans="1:23" x14ac:dyDescent="0.3">
      <c r="B11" s="2">
        <f t="shared" si="4"/>
        <v>2027</v>
      </c>
      <c r="C11" s="3">
        <f t="shared" si="5"/>
        <v>57.98939816604743</v>
      </c>
      <c r="D11" s="3">
        <f t="shared" si="0"/>
        <v>57.98939816604743</v>
      </c>
      <c r="E11" s="3">
        <f t="shared" si="6"/>
        <v>0.83929846100722005</v>
      </c>
      <c r="F11" s="3">
        <f t="shared" si="6"/>
        <v>296.59999999999997</v>
      </c>
      <c r="G11" s="3">
        <f>+'[7]Colector Escobar Phillipi'!$AB$19</f>
        <v>4.457406603235043</v>
      </c>
      <c r="H11" s="3">
        <f t="shared" si="1"/>
        <v>53.531991562812387</v>
      </c>
      <c r="L11" s="56">
        <f t="shared" si="7"/>
        <v>2027</v>
      </c>
      <c r="M11" s="9"/>
      <c r="N11" s="44">
        <f t="shared" si="8"/>
        <v>3.581250624186636</v>
      </c>
      <c r="O11" s="34">
        <f t="shared" si="9"/>
        <v>0</v>
      </c>
      <c r="P11" s="34">
        <f t="shared" si="2"/>
        <v>0</v>
      </c>
      <c r="S11" s="34">
        <f>+'[7]Colector Escobar Phillipi'!$AA$17</f>
        <v>4.457406603235043</v>
      </c>
      <c r="T11" s="57">
        <f t="shared" si="10"/>
        <v>4.457406603235043</v>
      </c>
      <c r="V11" s="46">
        <f t="shared" si="3"/>
        <v>4.457406603235043</v>
      </c>
      <c r="W11" s="46">
        <f t="shared" si="11"/>
        <v>0</v>
      </c>
    </row>
    <row r="12" spans="1:23" x14ac:dyDescent="0.3">
      <c r="B12" s="2">
        <f t="shared" si="4"/>
        <v>2028</v>
      </c>
      <c r="C12" s="3">
        <f t="shared" si="5"/>
        <v>57.98939816604743</v>
      </c>
      <c r="D12" s="3">
        <f t="shared" si="0"/>
        <v>57.98939816604743</v>
      </c>
      <c r="E12" s="3">
        <f t="shared" si="6"/>
        <v>0.83929846100722005</v>
      </c>
      <c r="F12" s="3">
        <f t="shared" si="6"/>
        <v>296.59999999999997</v>
      </c>
      <c r="G12" s="3">
        <f>+'[8]Colector Escobar Phillipi'!$AB$19</f>
        <v>4.4882405474394886</v>
      </c>
      <c r="H12" s="3">
        <f t="shared" si="1"/>
        <v>53.501157618607941</v>
      </c>
      <c r="L12" s="56">
        <f t="shared" si="7"/>
        <v>2028</v>
      </c>
      <c r="M12" s="9"/>
      <c r="N12" s="44">
        <f t="shared" si="8"/>
        <v>3.5810835175216114</v>
      </c>
      <c r="O12" s="34">
        <f t="shared" si="9"/>
        <v>0</v>
      </c>
      <c r="P12" s="34">
        <f t="shared" si="2"/>
        <v>0</v>
      </c>
      <c r="S12" s="34">
        <f>+'[8]Colector Escobar Phillipi'!$AA$17</f>
        <v>4.4882405474394886</v>
      </c>
      <c r="T12" s="57">
        <f t="shared" si="10"/>
        <v>4.4882405474394886</v>
      </c>
      <c r="V12" s="46">
        <f t="shared" si="3"/>
        <v>4.4882405474394886</v>
      </c>
      <c r="W12" s="46">
        <f t="shared" si="11"/>
        <v>0</v>
      </c>
    </row>
    <row r="13" spans="1:23" x14ac:dyDescent="0.3">
      <c r="B13" s="2">
        <f t="shared" si="4"/>
        <v>2029</v>
      </c>
      <c r="C13" s="3">
        <f t="shared" si="5"/>
        <v>57.98939816604743</v>
      </c>
      <c r="D13" s="3">
        <f t="shared" si="0"/>
        <v>57.98939816604743</v>
      </c>
      <c r="E13" s="3">
        <f t="shared" si="6"/>
        <v>0.83929846100722005</v>
      </c>
      <c r="F13" s="3">
        <f t="shared" si="6"/>
        <v>296.59999999999997</v>
      </c>
      <c r="G13" s="3">
        <f>+'[9]Colector Escobar Phillipi'!$AB$19</f>
        <v>4.5194836942418144</v>
      </c>
      <c r="H13" s="3">
        <f t="shared" si="1"/>
        <v>53.469914471805616</v>
      </c>
      <c r="L13" s="56">
        <f t="shared" si="7"/>
        <v>2029</v>
      </c>
      <c r="M13" s="9"/>
      <c r="N13" s="44">
        <f t="shared" si="8"/>
        <v>3.5809164736784962</v>
      </c>
      <c r="O13" s="34">
        <f t="shared" si="9"/>
        <v>0</v>
      </c>
      <c r="P13" s="34">
        <f t="shared" si="2"/>
        <v>0</v>
      </c>
      <c r="S13" s="34">
        <f>+'[9]Colector Escobar Phillipi'!$AA$17</f>
        <v>4.5194836942418144</v>
      </c>
      <c r="T13" s="57">
        <f t="shared" si="10"/>
        <v>4.5194836942418144</v>
      </c>
      <c r="V13" s="46">
        <f t="shared" si="3"/>
        <v>4.5194836942418144</v>
      </c>
      <c r="W13" s="46">
        <f t="shared" si="11"/>
        <v>0</v>
      </c>
    </row>
    <row r="14" spans="1:23" x14ac:dyDescent="0.3">
      <c r="B14" s="2">
        <f t="shared" si="4"/>
        <v>2030</v>
      </c>
      <c r="C14" s="3">
        <f t="shared" si="5"/>
        <v>57.98939816604743</v>
      </c>
      <c r="D14" s="3">
        <f t="shared" si="0"/>
        <v>57.98939816604743</v>
      </c>
      <c r="E14" s="3">
        <f t="shared" si="6"/>
        <v>0.83929846100722005</v>
      </c>
      <c r="F14" s="3">
        <f t="shared" si="6"/>
        <v>296.59999999999997</v>
      </c>
      <c r="G14" s="3">
        <f>+'[10]Colector Escobar Phillipi'!$AB$19</f>
        <v>4.5513391813938213</v>
      </c>
      <c r="H14" s="3">
        <f t="shared" si="1"/>
        <v>53.438058984653608</v>
      </c>
      <c r="L14" s="56">
        <f t="shared" si="7"/>
        <v>2030</v>
      </c>
      <c r="M14" s="9"/>
      <c r="N14" s="44">
        <f t="shared" si="8"/>
        <v>3.5807494926066563</v>
      </c>
      <c r="O14" s="34">
        <f t="shared" si="9"/>
        <v>0</v>
      </c>
      <c r="P14" s="34">
        <f t="shared" si="2"/>
        <v>0</v>
      </c>
      <c r="S14" s="34">
        <f>+'[10]Colector Escobar Phillipi'!$AA$17</f>
        <v>4.5513391813938213</v>
      </c>
      <c r="T14" s="57">
        <f t="shared" si="10"/>
        <v>4.5513391813938213</v>
      </c>
      <c r="V14" s="46">
        <f t="shared" si="3"/>
        <v>4.5513391813938213</v>
      </c>
      <c r="W14" s="46">
        <f t="shared" si="11"/>
        <v>0</v>
      </c>
    </row>
    <row r="15" spans="1:23" x14ac:dyDescent="0.3">
      <c r="B15" s="2">
        <f t="shared" si="4"/>
        <v>2031</v>
      </c>
      <c r="C15" s="3">
        <f t="shared" si="5"/>
        <v>57.98939816604743</v>
      </c>
      <c r="D15" s="3">
        <f t="shared" si="0"/>
        <v>57.98939816604743</v>
      </c>
      <c r="E15" s="3">
        <f t="shared" si="6"/>
        <v>0.83929846100722005</v>
      </c>
      <c r="F15" s="3">
        <f t="shared" si="6"/>
        <v>296.59999999999997</v>
      </c>
      <c r="G15" s="3">
        <f>+'[11]Colector Escobar Phillipi'!$AB$19</f>
        <v>4.5837582943066568</v>
      </c>
      <c r="H15" s="3">
        <f t="shared" si="1"/>
        <v>53.405639871740775</v>
      </c>
      <c r="L15" s="56">
        <f t="shared" si="7"/>
        <v>2031</v>
      </c>
      <c r="M15" s="9"/>
      <c r="N15" s="44">
        <f t="shared" si="8"/>
        <v>3.5805825742555228</v>
      </c>
      <c r="O15" s="34">
        <f t="shared" si="9"/>
        <v>0</v>
      </c>
      <c r="P15" s="34">
        <f t="shared" si="2"/>
        <v>0</v>
      </c>
      <c r="S15" s="34">
        <f>+'[11]Colector Escobar Phillipi'!$AA$17</f>
        <v>4.5837582943066568</v>
      </c>
      <c r="T15" s="57">
        <f t="shared" si="10"/>
        <v>4.5837582943066568</v>
      </c>
      <c r="V15" s="46">
        <f t="shared" si="3"/>
        <v>4.5837582943066568</v>
      </c>
      <c r="W15" s="46">
        <f t="shared" si="11"/>
        <v>0</v>
      </c>
    </row>
    <row r="16" spans="1:23" x14ac:dyDescent="0.3">
      <c r="B16" s="2">
        <f t="shared" si="4"/>
        <v>2032</v>
      </c>
      <c r="C16" s="3">
        <f t="shared" si="5"/>
        <v>57.98939816604743</v>
      </c>
      <c r="D16" s="3">
        <f t="shared" si="0"/>
        <v>57.98939816604743</v>
      </c>
      <c r="E16" s="3">
        <f t="shared" si="6"/>
        <v>0.83929846100722005</v>
      </c>
      <c r="F16" s="3">
        <f t="shared" si="6"/>
        <v>296.59999999999997</v>
      </c>
      <c r="G16" s="3">
        <f>+'[12]Colector Escobar Phillipi'!$AB$19</f>
        <v>4.616845821571907</v>
      </c>
      <c r="H16" s="3">
        <f t="shared" si="1"/>
        <v>53.372552344475523</v>
      </c>
      <c r="L16" s="56">
        <f t="shared" si="7"/>
        <v>2032</v>
      </c>
      <c r="M16" s="9"/>
      <c r="N16" s="44">
        <f t="shared" si="8"/>
        <v>3.5804157185745908</v>
      </c>
      <c r="O16" s="34">
        <f t="shared" si="9"/>
        <v>0</v>
      </c>
      <c r="P16" s="34">
        <f t="shared" si="2"/>
        <v>0</v>
      </c>
      <c r="S16" s="34">
        <f>+'[12]Colector Escobar Phillipi'!$AA$17</f>
        <v>4.616845821571907</v>
      </c>
      <c r="T16" s="57">
        <f t="shared" si="10"/>
        <v>4.616845821571907</v>
      </c>
      <c r="V16" s="46">
        <f t="shared" si="3"/>
        <v>4.616845821571907</v>
      </c>
      <c r="W16" s="46">
        <f t="shared" si="11"/>
        <v>0</v>
      </c>
    </row>
    <row r="17" spans="2:23" x14ac:dyDescent="0.3">
      <c r="B17" s="2">
        <f t="shared" si="4"/>
        <v>2033</v>
      </c>
      <c r="C17" s="3">
        <f t="shared" si="5"/>
        <v>57.98939816604743</v>
      </c>
      <c r="D17" s="3">
        <f t="shared" si="0"/>
        <v>57.98939816604743</v>
      </c>
      <c r="E17" s="3">
        <f t="shared" si="6"/>
        <v>0.83929846100722005</v>
      </c>
      <c r="F17" s="3">
        <f t="shared" si="6"/>
        <v>296.59999999999997</v>
      </c>
      <c r="G17" s="3">
        <f>+'[13]Colector Escobar Phillipi'!$AB$19</f>
        <v>4.6503448469406701</v>
      </c>
      <c r="H17" s="3">
        <f t="shared" si="1"/>
        <v>53.33905331910676</v>
      </c>
      <c r="L17" s="56">
        <f t="shared" si="7"/>
        <v>2033</v>
      </c>
      <c r="M17" s="9"/>
      <c r="N17" s="44">
        <f t="shared" si="8"/>
        <v>3.5802489255134189</v>
      </c>
      <c r="O17" s="34">
        <f t="shared" si="9"/>
        <v>0</v>
      </c>
      <c r="P17" s="34">
        <f t="shared" si="2"/>
        <v>0</v>
      </c>
      <c r="S17" s="34">
        <f>+'[13]Colector Escobar Phillipi'!$AA$17</f>
        <v>4.6503448469406701</v>
      </c>
      <c r="T17" s="57">
        <f t="shared" si="10"/>
        <v>4.6503448469406701</v>
      </c>
      <c r="V17" s="46">
        <f t="shared" si="3"/>
        <v>4.6503448469406701</v>
      </c>
      <c r="W17" s="46">
        <f t="shared" si="11"/>
        <v>0</v>
      </c>
    </row>
    <row r="18" spans="2:23" x14ac:dyDescent="0.3">
      <c r="B18" s="2">
        <f t="shared" si="4"/>
        <v>2034</v>
      </c>
      <c r="C18" s="3">
        <f t="shared" si="5"/>
        <v>57.98939816604743</v>
      </c>
      <c r="D18" s="3">
        <f t="shared" si="0"/>
        <v>57.98939816604743</v>
      </c>
      <c r="E18" s="3">
        <f t="shared" si="6"/>
        <v>0.83929846100722005</v>
      </c>
      <c r="F18" s="3">
        <f t="shared" si="6"/>
        <v>296.59999999999997</v>
      </c>
      <c r="G18" s="3">
        <f>+'[14]Colector Escobar Phillipi'!$AB$19</f>
        <v>4.6844543723619383</v>
      </c>
      <c r="H18" s="3">
        <f t="shared" si="1"/>
        <v>53.304943793685489</v>
      </c>
      <c r="L18" s="56">
        <f t="shared" si="7"/>
        <v>2034</v>
      </c>
      <c r="M18" s="9"/>
      <c r="N18" s="44">
        <f t="shared" si="8"/>
        <v>3.5800821950216299</v>
      </c>
      <c r="O18" s="34">
        <f t="shared" si="9"/>
        <v>0</v>
      </c>
      <c r="P18" s="34">
        <f t="shared" si="2"/>
        <v>0</v>
      </c>
      <c r="S18" s="34">
        <f>+'[14]Colector Escobar Phillipi'!$AA$17</f>
        <v>4.6844543723619383</v>
      </c>
      <c r="T18" s="57">
        <f t="shared" si="10"/>
        <v>4.6844543723619383</v>
      </c>
      <c r="V18" s="46">
        <f t="shared" si="3"/>
        <v>4.6844543723619383</v>
      </c>
      <c r="W18" s="46">
        <f t="shared" si="11"/>
        <v>0</v>
      </c>
    </row>
    <row r="19" spans="2:23" x14ac:dyDescent="0.3">
      <c r="B19" s="2">
        <f t="shared" si="4"/>
        <v>2035</v>
      </c>
      <c r="C19" s="3">
        <f t="shared" si="5"/>
        <v>57.98939816604743</v>
      </c>
      <c r="D19" s="3">
        <f t="shared" si="0"/>
        <v>57.98939816604743</v>
      </c>
      <c r="E19" s="3">
        <f t="shared" si="6"/>
        <v>0.83929846100722005</v>
      </c>
      <c r="F19" s="3">
        <f t="shared" si="6"/>
        <v>296.59999999999997</v>
      </c>
      <c r="G19" s="3">
        <f>+'[15]Colector Escobar Phillipi'!$AB$19</f>
        <v>4.7191385285522607</v>
      </c>
      <c r="H19" s="3">
        <f t="shared" si="1"/>
        <v>53.270259637495172</v>
      </c>
      <c r="L19" s="56">
        <f t="shared" si="7"/>
        <v>2035</v>
      </c>
      <c r="M19" s="9"/>
      <c r="N19" s="44">
        <f t="shared" si="8"/>
        <v>3.5799155270489114</v>
      </c>
      <c r="O19" s="34">
        <f t="shared" si="9"/>
        <v>0</v>
      </c>
      <c r="P19" s="34">
        <f t="shared" si="2"/>
        <v>0</v>
      </c>
      <c r="S19" s="34">
        <f>+'[15]Colector Escobar Phillipi'!$AA$17</f>
        <v>4.7191385285522607</v>
      </c>
      <c r="T19" s="57">
        <f t="shared" si="10"/>
        <v>4.7191385285522607</v>
      </c>
      <c r="V19" s="46">
        <f t="shared" si="3"/>
        <v>4.7191385285522607</v>
      </c>
      <c r="W19" s="46">
        <f t="shared" si="11"/>
        <v>0</v>
      </c>
    </row>
    <row r="20" spans="2:23" x14ac:dyDescent="0.3">
      <c r="B20" s="2">
        <f t="shared" si="4"/>
        <v>2036</v>
      </c>
      <c r="C20" s="3">
        <f t="shared" si="5"/>
        <v>57.98939816604743</v>
      </c>
      <c r="D20" s="3">
        <f t="shared" si="0"/>
        <v>57.98939816604743</v>
      </c>
      <c r="E20" s="3">
        <f t="shared" si="6"/>
        <v>0.83929846100722005</v>
      </c>
      <c r="F20" s="3">
        <f t="shared" si="6"/>
        <v>296.59999999999997</v>
      </c>
      <c r="G20" s="3">
        <f>+'[16]Colector Escobar Phillipi'!$AB$19</f>
        <v>4.7544965460661528</v>
      </c>
      <c r="H20" s="3">
        <f t="shared" si="1"/>
        <v>53.234901619981279</v>
      </c>
      <c r="L20" s="56">
        <f t="shared" si="7"/>
        <v>2036</v>
      </c>
      <c r="M20" s="9"/>
      <c r="N20" s="44">
        <f t="shared" si="8"/>
        <v>3.5797489215450153</v>
      </c>
      <c r="O20" s="34">
        <f t="shared" si="9"/>
        <v>0</v>
      </c>
      <c r="P20" s="34">
        <f t="shared" si="2"/>
        <v>0</v>
      </c>
      <c r="S20" s="34">
        <f>+'[16]Colector Escobar Phillipi'!$AA$17</f>
        <v>4.7544965460661528</v>
      </c>
      <c r="T20" s="57">
        <f t="shared" si="10"/>
        <v>4.7544965460661528</v>
      </c>
      <c r="V20" s="46">
        <f t="shared" si="3"/>
        <v>4.7544965460661528</v>
      </c>
      <c r="W20" s="46">
        <f t="shared" si="11"/>
        <v>0</v>
      </c>
    </row>
    <row r="21" spans="2:23" ht="13.8" thickBot="1" x14ac:dyDescent="0.35">
      <c r="B21" s="2">
        <f t="shared" si="4"/>
        <v>2037</v>
      </c>
      <c r="C21" s="3">
        <f t="shared" si="5"/>
        <v>57.98939816604743</v>
      </c>
      <c r="D21" s="3">
        <f t="shared" si="0"/>
        <v>57.98939816604743</v>
      </c>
      <c r="E21" s="3">
        <f t="shared" si="6"/>
        <v>0.83929846100722005</v>
      </c>
      <c r="F21" s="3">
        <f t="shared" si="6"/>
        <v>296.59999999999997</v>
      </c>
      <c r="G21" s="3">
        <f>+'[17]Colector Escobar Phillipi'!$AB$19</f>
        <v>4.7902549761269819</v>
      </c>
      <c r="H21" s="3">
        <f t="shared" si="1"/>
        <v>53.199143189920449</v>
      </c>
      <c r="I21" s="13">
        <f>+G21/G6-1</f>
        <v>0.1129755856297292</v>
      </c>
      <c r="L21" s="58">
        <f t="shared" si="7"/>
        <v>2037</v>
      </c>
      <c r="M21" s="59"/>
      <c r="N21" s="61">
        <f t="shared" si="8"/>
        <v>3.5795823784597558</v>
      </c>
      <c r="O21" s="60">
        <f t="shared" si="9"/>
        <v>0</v>
      </c>
      <c r="P21" s="60">
        <f t="shared" si="2"/>
        <v>0</v>
      </c>
      <c r="Q21" s="63"/>
      <c r="R21" s="63"/>
      <c r="S21" s="60">
        <f>+'[17]Colector Escobar Phillipi'!$AA$17</f>
        <v>4.7902549761269819</v>
      </c>
      <c r="T21" s="62">
        <f t="shared" si="10"/>
        <v>4.7902549761269819</v>
      </c>
      <c r="V21" s="46">
        <f t="shared" si="3"/>
        <v>4.7902549761269819</v>
      </c>
      <c r="W21" s="46">
        <f t="shared" si="11"/>
        <v>0</v>
      </c>
    </row>
    <row r="22" spans="2:23" x14ac:dyDescent="0.3">
      <c r="L22" s="43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1:AF44"/>
  <sheetViews>
    <sheetView showGridLines="0" topLeftCell="G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2" ht="13.8" thickBot="1" x14ac:dyDescent="0.35"/>
    <row r="2" spans="1:32" x14ac:dyDescent="0.3">
      <c r="B2" s="5" t="s">
        <v>42</v>
      </c>
      <c r="E2" s="6" t="s">
        <v>7</v>
      </c>
      <c r="F2" s="7">
        <f>+'[17]Colector Baquedano'!$N$23</f>
        <v>448.12</v>
      </c>
      <c r="G2" s="8" t="s">
        <v>8</v>
      </c>
      <c r="L2" s="5" t="s">
        <v>77</v>
      </c>
      <c r="O2" s="6"/>
      <c r="P2" s="7"/>
      <c r="Q2" s="8"/>
      <c r="U2" s="47"/>
      <c r="V2" s="48" t="s">
        <v>98</v>
      </c>
      <c r="W2" s="49"/>
      <c r="X2" s="49"/>
      <c r="Y2" s="49"/>
      <c r="Z2" s="49"/>
      <c r="AA2" s="49"/>
      <c r="AB2" s="49"/>
      <c r="AC2" s="50"/>
    </row>
    <row r="3" spans="1:32" x14ac:dyDescent="0.3">
      <c r="B3" s="12" t="s">
        <v>71</v>
      </c>
      <c r="U3" s="51"/>
      <c r="V3" s="42" t="s">
        <v>187</v>
      </c>
      <c r="Z3" s="12" t="s">
        <v>186</v>
      </c>
      <c r="AC3" s="52"/>
    </row>
    <row r="4" spans="1:32" ht="13.5" customHeight="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96" t="s">
        <v>0</v>
      </c>
      <c r="M4" s="96" t="s">
        <v>13</v>
      </c>
      <c r="N4" s="97" t="s">
        <v>14</v>
      </c>
      <c r="O4" s="98"/>
      <c r="P4" s="98"/>
      <c r="Q4" s="99"/>
      <c r="R4" s="100" t="s">
        <v>19</v>
      </c>
      <c r="U4" s="51"/>
      <c r="Z4" s="53">
        <v>0.2</v>
      </c>
      <c r="AB4" s="43" t="s">
        <v>94</v>
      </c>
      <c r="AC4" s="52"/>
    </row>
    <row r="5" spans="1:3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6"/>
      <c r="M5" s="96"/>
      <c r="N5" s="18" t="s">
        <v>17</v>
      </c>
      <c r="O5" s="18" t="s">
        <v>16</v>
      </c>
      <c r="P5" s="18" t="s">
        <v>15</v>
      </c>
      <c r="Q5" s="18" t="s">
        <v>18</v>
      </c>
      <c r="R5" s="101"/>
      <c r="U5" s="54" t="s">
        <v>0</v>
      </c>
      <c r="V5" s="45" t="s">
        <v>90</v>
      </c>
      <c r="W5" s="45" t="s">
        <v>99</v>
      </c>
      <c r="X5" s="45" t="s">
        <v>91</v>
      </c>
      <c r="Y5" s="45" t="s">
        <v>92</v>
      </c>
      <c r="Z5" s="45" t="s">
        <v>93</v>
      </c>
      <c r="AA5" s="45" t="s">
        <v>100</v>
      </c>
      <c r="AB5" s="45"/>
      <c r="AC5" s="55" t="s">
        <v>101</v>
      </c>
      <c r="AD5" s="45"/>
      <c r="AE5" s="45" t="s">
        <v>92</v>
      </c>
      <c r="AF5" s="45" t="s">
        <v>97</v>
      </c>
    </row>
    <row r="6" spans="1:32" x14ac:dyDescent="0.3">
      <c r="A6" s="12" t="s">
        <v>6</v>
      </c>
      <c r="B6" s="2">
        <f>+'Colec Sta Maria'!B6</f>
        <v>2022</v>
      </c>
      <c r="C6" s="3">
        <f>+SUMPRODUCT('[17]Colector Baquedano'!$AL$17:$AL$23,'[17]Colector Baquedano'!$M$17:$M$23)/F2</f>
        <v>115.04305088913932</v>
      </c>
      <c r="D6" s="3">
        <f t="shared" ref="D6:D21" si="0">+C6</f>
        <v>115.04305088913932</v>
      </c>
      <c r="E6" s="3">
        <f>D6/(0.25*PI()*(F6/1000)^2)/1000</f>
        <v>0.9154835108689493</v>
      </c>
      <c r="F6" s="3">
        <f>+SUMPRODUCT('[17]Colector Baquedano'!$F$17:$F$23,'[17]Colector Baquedano'!$M$17:$M$23)/F2</f>
        <v>400</v>
      </c>
      <c r="G6" s="3">
        <f>+'[2]Colector Baquedano'!$AB$23</f>
        <v>102.49342280079945</v>
      </c>
      <c r="H6" s="3">
        <f t="shared" ref="H6:H21" si="1">+D6-G6</f>
        <v>12.549628088339873</v>
      </c>
      <c r="L6" s="2">
        <f>+B6</f>
        <v>2022</v>
      </c>
      <c r="M6" s="1" t="str">
        <f t="shared" ref="M6:M16" si="2">+IF(H6&gt;0,"",-H6)</f>
        <v/>
      </c>
      <c r="N6" s="14"/>
      <c r="O6" s="14"/>
      <c r="P6" s="14"/>
      <c r="Q6" s="14"/>
      <c r="R6" s="1"/>
      <c r="U6" s="56">
        <f>+B6</f>
        <v>2022</v>
      </c>
      <c r="V6" s="9">
        <f>+'[2]Colector Baquedano'!$V$23</f>
        <v>2302.4944073228457</v>
      </c>
      <c r="W6" s="34">
        <f>+'[2]Colector Baquedano'!$U$23</f>
        <v>4.3566665261135293</v>
      </c>
      <c r="X6" s="44">
        <f t="shared" ref="X6:X21" si="3">1+(14/(4+(SQRT(V6/1000))))</f>
        <v>3.5374283147438779</v>
      </c>
      <c r="Y6" s="34">
        <f>+X6*W6</f>
        <v>15.411395527370846</v>
      </c>
      <c r="Z6" s="34">
        <f>+W6*$Z$4</f>
        <v>0.87133330522270591</v>
      </c>
      <c r="AA6" s="34">
        <f>+Z6+Y6</f>
        <v>16.282728832593552</v>
      </c>
      <c r="AB6" s="34">
        <f>+'[2]Colector Baquedano'!$AA$23</f>
        <v>86.210693968205902</v>
      </c>
      <c r="AC6" s="57">
        <f>+AB6+AA6</f>
        <v>102.49342280079945</v>
      </c>
      <c r="AE6" s="46">
        <f>+G6</f>
        <v>102.49342280079945</v>
      </c>
      <c r="AF6" s="46">
        <f>+AC6-AE6</f>
        <v>0</v>
      </c>
    </row>
    <row r="7" spans="1:32" x14ac:dyDescent="0.3">
      <c r="B7" s="2">
        <f t="shared" ref="B7:B21" si="4">+B6+1</f>
        <v>2023</v>
      </c>
      <c r="C7" s="3">
        <f t="shared" ref="C7:C21" si="5">+C6</f>
        <v>115.04305088913932</v>
      </c>
      <c r="D7" s="3">
        <f t="shared" si="0"/>
        <v>115.04305088913932</v>
      </c>
      <c r="E7" s="3">
        <f t="shared" ref="E7:F21" si="6">+E6</f>
        <v>0.9154835108689493</v>
      </c>
      <c r="F7" s="3">
        <f t="shared" si="6"/>
        <v>400</v>
      </c>
      <c r="G7" s="3">
        <f>+'[3]Colector Baquedano'!$AB$23</f>
        <v>104.98681298407976</v>
      </c>
      <c r="H7" s="3">
        <f t="shared" si="1"/>
        <v>10.056237905059561</v>
      </c>
      <c r="L7" s="2">
        <f t="shared" ref="L7:L21" si="7">+L6+1</f>
        <v>2023</v>
      </c>
      <c r="M7" s="1" t="str">
        <f t="shared" si="2"/>
        <v/>
      </c>
      <c r="N7" s="14"/>
      <c r="O7" s="14"/>
      <c r="P7" s="14"/>
      <c r="Q7" s="14"/>
      <c r="R7" s="1"/>
      <c r="U7" s="56">
        <f t="shared" ref="U7:U21" si="8">+B7</f>
        <v>2023</v>
      </c>
      <c r="V7" s="9">
        <f>+'[3]Colector Baquedano'!$V$23</f>
        <v>2321.1384897517637</v>
      </c>
      <c r="W7" s="34">
        <f>+'[3]Colector Baquedano'!$U$23</f>
        <v>4.49413187879665</v>
      </c>
      <c r="X7" s="44">
        <f t="shared" si="3"/>
        <v>3.5346117974334703</v>
      </c>
      <c r="Y7" s="34">
        <f t="shared" ref="Y7:Y20" si="9">+X7*W7</f>
        <v>15.885011558016487</v>
      </c>
      <c r="Z7" s="34">
        <f t="shared" ref="Z7:Z21" si="10">+W7*$Z$4</f>
        <v>0.89882637575933</v>
      </c>
      <c r="AA7" s="34">
        <f t="shared" ref="AA7:AA21" si="11">+Z7+Y7</f>
        <v>16.783837933775818</v>
      </c>
      <c r="AB7" s="34">
        <f>+'[3]Colector Baquedano'!$AA$23</f>
        <v>88.202975050303948</v>
      </c>
      <c r="AC7" s="57">
        <f t="shared" ref="AC7:AC21" si="12">+AB7+AA7</f>
        <v>104.98681298407976</v>
      </c>
      <c r="AE7" s="46">
        <f t="shared" ref="AE7:AE21" si="13">+G7</f>
        <v>104.98681298407976</v>
      </c>
      <c r="AF7" s="46">
        <f t="shared" ref="AF7:AF21" si="14">+AC7-AE7</f>
        <v>0</v>
      </c>
    </row>
    <row r="8" spans="1:32" x14ac:dyDescent="0.3">
      <c r="B8" s="2">
        <f t="shared" si="4"/>
        <v>2024</v>
      </c>
      <c r="C8" s="3">
        <f t="shared" si="5"/>
        <v>115.04305088913932</v>
      </c>
      <c r="D8" s="3">
        <f t="shared" si="0"/>
        <v>115.04305088913932</v>
      </c>
      <c r="E8" s="3">
        <f t="shared" si="6"/>
        <v>0.9154835108689493</v>
      </c>
      <c r="F8" s="3">
        <f t="shared" si="6"/>
        <v>400</v>
      </c>
      <c r="G8" s="3">
        <f>+'[4]Colector Baquedano'!$AB$23</f>
        <v>106.84977583364609</v>
      </c>
      <c r="H8" s="3">
        <f t="shared" si="1"/>
        <v>8.1932750554932312</v>
      </c>
      <c r="L8" s="2">
        <f t="shared" si="7"/>
        <v>2024</v>
      </c>
      <c r="M8" s="1" t="str">
        <f t="shared" si="2"/>
        <v/>
      </c>
      <c r="N8" s="4"/>
      <c r="O8" s="3"/>
      <c r="P8" s="1"/>
      <c r="Q8" s="3"/>
      <c r="R8" s="1"/>
      <c r="U8" s="56">
        <f t="shared" si="8"/>
        <v>2024</v>
      </c>
      <c r="V8" s="9">
        <f>+'[4]Colector Baquedano'!$V$23</f>
        <v>2339.8681740283801</v>
      </c>
      <c r="W8" s="34">
        <f>+'[4]Colector Baquedano'!$U$23</f>
        <v>4.5980687450126174</v>
      </c>
      <c r="X8" s="44">
        <f t="shared" si="3"/>
        <v>3.5317999660139789</v>
      </c>
      <c r="Y8" s="34">
        <f t="shared" si="9"/>
        <v>16.239459037365503</v>
      </c>
      <c r="Z8" s="34">
        <f t="shared" si="10"/>
        <v>0.91961374900252357</v>
      </c>
      <c r="AA8" s="34">
        <f t="shared" si="11"/>
        <v>17.159072786368025</v>
      </c>
      <c r="AB8" s="34">
        <f>+'[4]Colector Baquedano'!$AA$23</f>
        <v>89.690703047278063</v>
      </c>
      <c r="AC8" s="57">
        <f t="shared" si="12"/>
        <v>106.84977583364609</v>
      </c>
      <c r="AE8" s="46">
        <f t="shared" si="13"/>
        <v>106.84977583364609</v>
      </c>
      <c r="AF8" s="46">
        <f t="shared" si="14"/>
        <v>0</v>
      </c>
    </row>
    <row r="9" spans="1:32" x14ac:dyDescent="0.3">
      <c r="B9" s="2">
        <f t="shared" si="4"/>
        <v>2025</v>
      </c>
      <c r="C9" s="3">
        <f t="shared" si="5"/>
        <v>115.04305088913932</v>
      </c>
      <c r="D9" s="3">
        <f t="shared" si="0"/>
        <v>115.04305088913932</v>
      </c>
      <c r="E9" s="3">
        <f t="shared" si="6"/>
        <v>0.9154835108689493</v>
      </c>
      <c r="F9" s="3">
        <f t="shared" si="6"/>
        <v>400</v>
      </c>
      <c r="G9" s="3">
        <f>+'[5]Colector Baquedano'!$AB$23</f>
        <v>108.71870330514756</v>
      </c>
      <c r="H9" s="3">
        <f t="shared" si="1"/>
        <v>6.3243475839917664</v>
      </c>
      <c r="L9" s="2">
        <f t="shared" si="7"/>
        <v>2025</v>
      </c>
      <c r="M9" s="1" t="str">
        <f t="shared" si="2"/>
        <v/>
      </c>
      <c r="N9" s="4"/>
      <c r="O9" s="3"/>
      <c r="P9" s="1"/>
      <c r="Q9" s="3"/>
      <c r="R9" s="1"/>
      <c r="U9" s="56">
        <f t="shared" si="8"/>
        <v>2025</v>
      </c>
      <c r="V9" s="9">
        <f>+'[5]Colector Baquedano'!$V$23</f>
        <v>2358.6663397831562</v>
      </c>
      <c r="W9" s="34">
        <f>+'[5]Colector Baquedano'!$U$23</f>
        <v>4.7024724012245898</v>
      </c>
      <c r="X9" s="44">
        <f t="shared" si="3"/>
        <v>3.5289953750897189</v>
      </c>
      <c r="Y9" s="34">
        <f t="shared" si="9"/>
        <v>16.595003355408622</v>
      </c>
      <c r="Z9" s="34">
        <f t="shared" si="10"/>
        <v>0.940494480244918</v>
      </c>
      <c r="AA9" s="34">
        <f t="shared" si="11"/>
        <v>17.53549783565354</v>
      </c>
      <c r="AB9" s="34">
        <f>+'[5]Colector Baquedano'!$AA$23</f>
        <v>91.183205469494013</v>
      </c>
      <c r="AC9" s="57">
        <f t="shared" si="12"/>
        <v>108.71870330514756</v>
      </c>
      <c r="AE9" s="46">
        <f t="shared" si="13"/>
        <v>108.71870330514756</v>
      </c>
      <c r="AF9" s="46">
        <f t="shared" si="14"/>
        <v>0</v>
      </c>
    </row>
    <row r="10" spans="1:32" x14ac:dyDescent="0.3">
      <c r="B10" s="2">
        <f t="shared" si="4"/>
        <v>2026</v>
      </c>
      <c r="C10" s="3">
        <f t="shared" si="5"/>
        <v>115.04305088913932</v>
      </c>
      <c r="D10" s="3">
        <f t="shared" si="0"/>
        <v>115.04305088913932</v>
      </c>
      <c r="E10" s="3">
        <f t="shared" si="6"/>
        <v>0.9154835108689493</v>
      </c>
      <c r="F10" s="3">
        <f t="shared" si="6"/>
        <v>400</v>
      </c>
      <c r="G10" s="3">
        <f>+'[6]Colector Baquedano'!$AB$23</f>
        <v>110.60753898717128</v>
      </c>
      <c r="H10" s="3">
        <f t="shared" si="1"/>
        <v>4.4355119019680416</v>
      </c>
      <c r="L10" s="2">
        <f t="shared" si="7"/>
        <v>2026</v>
      </c>
      <c r="M10" s="1" t="str">
        <f t="shared" si="2"/>
        <v/>
      </c>
      <c r="N10" s="4"/>
      <c r="O10" s="3"/>
      <c r="P10" s="1"/>
      <c r="Q10" s="3"/>
      <c r="R10" s="1"/>
      <c r="U10" s="56">
        <f t="shared" si="8"/>
        <v>2026</v>
      </c>
      <c r="V10" s="9">
        <f>+'[6]Colector Baquedano'!$V$23</f>
        <v>2377.5672277551721</v>
      </c>
      <c r="W10" s="34">
        <f>+'[6]Colector Baquedano'!$U$23</f>
        <v>4.8080987111821871</v>
      </c>
      <c r="X10" s="44">
        <f t="shared" si="3"/>
        <v>3.5261929240578747</v>
      </c>
      <c r="Y10" s="34">
        <f t="shared" si="9"/>
        <v>16.954283653542415</v>
      </c>
      <c r="Z10" s="34">
        <f t="shared" si="10"/>
        <v>0.96161974223643742</v>
      </c>
      <c r="AA10" s="34">
        <f t="shared" si="11"/>
        <v>17.915903395778852</v>
      </c>
      <c r="AB10" s="34">
        <f>+'[6]Colector Baquedano'!$AA$23</f>
        <v>92.691635591392426</v>
      </c>
      <c r="AC10" s="57">
        <f t="shared" si="12"/>
        <v>110.60753898717128</v>
      </c>
      <c r="AE10" s="46">
        <f t="shared" si="13"/>
        <v>110.60753898717128</v>
      </c>
      <c r="AF10" s="46">
        <f t="shared" si="14"/>
        <v>0</v>
      </c>
    </row>
    <row r="11" spans="1:32" x14ac:dyDescent="0.3">
      <c r="B11" s="2">
        <f t="shared" si="4"/>
        <v>2027</v>
      </c>
      <c r="C11" s="3">
        <f t="shared" si="5"/>
        <v>115.04305088913932</v>
      </c>
      <c r="D11" s="3">
        <f t="shared" si="0"/>
        <v>115.04305088913932</v>
      </c>
      <c r="E11" s="3">
        <f t="shared" si="6"/>
        <v>0.9154835108689493</v>
      </c>
      <c r="F11" s="3">
        <f t="shared" si="6"/>
        <v>400</v>
      </c>
      <c r="G11" s="3">
        <f>+'[7]Colector Baquedano'!$AB$23</f>
        <v>112.51277075129416</v>
      </c>
      <c r="H11" s="3">
        <f t="shared" si="1"/>
        <v>2.5302801378451676</v>
      </c>
      <c r="L11" s="2">
        <f t="shared" si="7"/>
        <v>2027</v>
      </c>
      <c r="M11" s="1" t="str">
        <f t="shared" si="2"/>
        <v/>
      </c>
      <c r="N11" s="4"/>
      <c r="O11" s="3"/>
      <c r="P11" s="1"/>
      <c r="Q11" s="3"/>
      <c r="R11" s="1"/>
      <c r="U11" s="56">
        <f t="shared" si="8"/>
        <v>2027</v>
      </c>
      <c r="V11" s="9">
        <f>+'[7]Colector Baquedano'!$V$23</f>
        <v>2396.5537175748864</v>
      </c>
      <c r="W11" s="34">
        <f>+'[7]Colector Baquedano'!$U$23</f>
        <v>4.9147578058351691</v>
      </c>
      <c r="X11" s="44">
        <f t="shared" si="3"/>
        <v>3.5233951825814622</v>
      </c>
      <c r="Y11" s="34">
        <f t="shared" si="9"/>
        <v>17.316633976634272</v>
      </c>
      <c r="Z11" s="34">
        <f t="shared" si="10"/>
        <v>0.98295156116703386</v>
      </c>
      <c r="AA11" s="34">
        <f t="shared" si="11"/>
        <v>18.299585537801306</v>
      </c>
      <c r="AB11" s="34">
        <f>+'[7]Colector Baquedano'!$AA$23</f>
        <v>94.213185213492849</v>
      </c>
      <c r="AC11" s="57">
        <f t="shared" si="12"/>
        <v>112.51277075129416</v>
      </c>
      <c r="AE11" s="46">
        <f t="shared" si="13"/>
        <v>112.51277075129416</v>
      </c>
      <c r="AF11" s="46">
        <f t="shared" si="14"/>
        <v>0</v>
      </c>
    </row>
    <row r="12" spans="1:32" x14ac:dyDescent="0.3">
      <c r="B12" s="2">
        <f t="shared" si="4"/>
        <v>2028</v>
      </c>
      <c r="C12" s="3">
        <f t="shared" si="5"/>
        <v>115.04305088913932</v>
      </c>
      <c r="D12" s="3">
        <f t="shared" si="0"/>
        <v>115.04305088913932</v>
      </c>
      <c r="E12" s="3">
        <f t="shared" si="6"/>
        <v>0.9154835108689493</v>
      </c>
      <c r="F12" s="3">
        <f t="shared" si="6"/>
        <v>400</v>
      </c>
      <c r="G12" s="3">
        <f>+'[8]Colector Baquedano'!$AB$23</f>
        <v>114.44166239108431</v>
      </c>
      <c r="H12" s="3">
        <f t="shared" si="1"/>
        <v>0.60138849805501593</v>
      </c>
      <c r="L12" s="2">
        <f t="shared" si="7"/>
        <v>2028</v>
      </c>
      <c r="M12" s="1" t="str">
        <f t="shared" si="2"/>
        <v/>
      </c>
      <c r="N12" s="4"/>
      <c r="O12" s="3"/>
      <c r="P12" s="1"/>
      <c r="Q12" s="3"/>
      <c r="R12" s="1"/>
      <c r="U12" s="56">
        <f t="shared" si="8"/>
        <v>2028</v>
      </c>
      <c r="V12" s="9">
        <f>+'[8]Colector Baquedano'!$V$23</f>
        <v>2415.6429296118404</v>
      </c>
      <c r="W12" s="34">
        <f>+'[8]Colector Baquedano'!$U$23</f>
        <v>5.022845653579239</v>
      </c>
      <c r="X12" s="44">
        <f t="shared" si="3"/>
        <v>3.5205996582133423</v>
      </c>
      <c r="Y12" s="34">
        <f t="shared" si="9"/>
        <v>17.683428691249439</v>
      </c>
      <c r="Z12" s="34">
        <f t="shared" si="10"/>
        <v>1.0045691307158477</v>
      </c>
      <c r="AA12" s="34">
        <f t="shared" si="11"/>
        <v>18.687997821965286</v>
      </c>
      <c r="AB12" s="34">
        <f>+'[8]Colector Baquedano'!$AA$23</f>
        <v>95.753664569119024</v>
      </c>
      <c r="AC12" s="57">
        <f t="shared" si="12"/>
        <v>114.44166239108431</v>
      </c>
      <c r="AE12" s="46">
        <f t="shared" si="13"/>
        <v>114.44166239108431</v>
      </c>
      <c r="AF12" s="46">
        <f t="shared" si="14"/>
        <v>0</v>
      </c>
    </row>
    <row r="13" spans="1:32" x14ac:dyDescent="0.3">
      <c r="B13" s="2">
        <f t="shared" si="4"/>
        <v>2029</v>
      </c>
      <c r="C13" s="3">
        <f t="shared" si="5"/>
        <v>115.04305088913932</v>
      </c>
      <c r="D13" s="3">
        <f t="shared" si="0"/>
        <v>115.04305088913932</v>
      </c>
      <c r="E13" s="3">
        <f t="shared" si="6"/>
        <v>0.9154835108689493</v>
      </c>
      <c r="F13" s="3">
        <f t="shared" si="6"/>
        <v>400</v>
      </c>
      <c r="G13" s="3">
        <f>+'[9]Colector Baquedano'!$AB$23</f>
        <v>116.37582155567287</v>
      </c>
      <c r="H13" s="3">
        <f t="shared" si="1"/>
        <v>-1.3327706665335484</v>
      </c>
      <c r="L13" s="2">
        <f t="shared" si="7"/>
        <v>2029</v>
      </c>
      <c r="M13" s="3">
        <f t="shared" si="2"/>
        <v>1.3327706665335484</v>
      </c>
      <c r="N13" s="4">
        <f>+F2</f>
        <v>448.12</v>
      </c>
      <c r="O13" s="3">
        <f>+O16</f>
        <v>315</v>
      </c>
      <c r="P13" s="3">
        <f>+P16</f>
        <v>61.86837949389632</v>
      </c>
      <c r="Q13" s="3">
        <f>+Q16</f>
        <v>0.93279807139310722</v>
      </c>
      <c r="R13" s="3">
        <f t="shared" ref="R13:R15" si="15">+P13-M13</f>
        <v>60.535608827362772</v>
      </c>
      <c r="U13" s="56">
        <f t="shared" si="8"/>
        <v>2029</v>
      </c>
      <c r="V13" s="9">
        <f>+'[9]Colector Baquedano'!$V$23</f>
        <v>2434.8006231269537</v>
      </c>
      <c r="W13" s="34">
        <f>+'[9]Colector Baquedano'!$U$23</f>
        <v>5.131369094467507</v>
      </c>
      <c r="X13" s="44">
        <f t="shared" si="3"/>
        <v>3.5178113718749939</v>
      </c>
      <c r="Y13" s="34">
        <f t="shared" si="9"/>
        <v>18.051188553805687</v>
      </c>
      <c r="Z13" s="34">
        <f t="shared" si="10"/>
        <v>1.0262738188935014</v>
      </c>
      <c r="AA13" s="34">
        <f t="shared" si="11"/>
        <v>19.077462372699188</v>
      </c>
      <c r="AB13" s="34">
        <f>+'[9]Colector Baquedano'!$AA$23</f>
        <v>97.298359182973684</v>
      </c>
      <c r="AC13" s="57">
        <f t="shared" si="12"/>
        <v>116.37582155567287</v>
      </c>
      <c r="AE13" s="46">
        <f t="shared" si="13"/>
        <v>116.37582155567287</v>
      </c>
      <c r="AF13" s="46">
        <f t="shared" si="14"/>
        <v>0</v>
      </c>
    </row>
    <row r="14" spans="1:32" x14ac:dyDescent="0.3">
      <c r="B14" s="2">
        <f t="shared" si="4"/>
        <v>2030</v>
      </c>
      <c r="C14" s="3">
        <f t="shared" si="5"/>
        <v>115.04305088913932</v>
      </c>
      <c r="D14" s="3">
        <f t="shared" si="0"/>
        <v>115.04305088913932</v>
      </c>
      <c r="E14" s="3">
        <f t="shared" si="6"/>
        <v>0.9154835108689493</v>
      </c>
      <c r="F14" s="3">
        <f t="shared" si="6"/>
        <v>400</v>
      </c>
      <c r="G14" s="3">
        <f>+'[10]Colector Baquedano'!$AB$23</f>
        <v>118.32996216666433</v>
      </c>
      <c r="H14" s="3">
        <f t="shared" si="1"/>
        <v>-3.2869112775250073</v>
      </c>
      <c r="L14" s="2">
        <f t="shared" si="7"/>
        <v>2030</v>
      </c>
      <c r="M14" s="3">
        <f t="shared" si="2"/>
        <v>3.2869112775250073</v>
      </c>
      <c r="N14" s="4">
        <f>+N13</f>
        <v>448.12</v>
      </c>
      <c r="O14" s="3">
        <f>+O13</f>
        <v>315</v>
      </c>
      <c r="P14" s="3">
        <f t="shared" ref="P14:P15" si="16">+P17</f>
        <v>61.86837949389632</v>
      </c>
      <c r="Q14" s="3">
        <f>+Q13</f>
        <v>0.93279807139310722</v>
      </c>
      <c r="R14" s="3">
        <f t="shared" si="15"/>
        <v>58.581468216371313</v>
      </c>
      <c r="U14" s="56">
        <f t="shared" si="8"/>
        <v>2030</v>
      </c>
      <c r="V14" s="9">
        <f>+'[10]Colector Baquedano'!$V$23</f>
        <v>2454.0610388593068</v>
      </c>
      <c r="W14" s="34">
        <f>+'[10]Colector Baquedano'!$U$23</f>
        <v>5.2411279579801953</v>
      </c>
      <c r="X14" s="44">
        <f t="shared" si="3"/>
        <v>3.5150253459792298</v>
      </c>
      <c r="Y14" s="34">
        <f t="shared" si="9"/>
        <v>18.422697613820748</v>
      </c>
      <c r="Z14" s="34">
        <f t="shared" si="10"/>
        <v>1.048225591596039</v>
      </c>
      <c r="AA14" s="34">
        <f t="shared" si="11"/>
        <v>19.470923205416788</v>
      </c>
      <c r="AB14" s="34">
        <f>+'[10]Colector Baquedano'!$AA$23</f>
        <v>98.859038961247549</v>
      </c>
      <c r="AC14" s="57">
        <f t="shared" si="12"/>
        <v>118.32996216666433</v>
      </c>
      <c r="AE14" s="46">
        <f t="shared" si="13"/>
        <v>118.32996216666433</v>
      </c>
      <c r="AF14" s="46">
        <f t="shared" si="14"/>
        <v>0</v>
      </c>
    </row>
    <row r="15" spans="1:32" x14ac:dyDescent="0.3">
      <c r="B15" s="2">
        <f t="shared" si="4"/>
        <v>2031</v>
      </c>
      <c r="C15" s="3">
        <f t="shared" si="5"/>
        <v>115.04305088913932</v>
      </c>
      <c r="D15" s="3">
        <f t="shared" si="0"/>
        <v>115.04305088913932</v>
      </c>
      <c r="E15" s="3">
        <f t="shared" si="6"/>
        <v>0.9154835108689493</v>
      </c>
      <c r="F15" s="3">
        <f t="shared" si="6"/>
        <v>400</v>
      </c>
      <c r="G15" s="3">
        <f>+'[11]Colector Baquedano'!$AB$23</f>
        <v>120.30026868401717</v>
      </c>
      <c r="H15" s="3">
        <f t="shared" si="1"/>
        <v>-5.257217794877846</v>
      </c>
      <c r="L15" s="2">
        <f t="shared" si="7"/>
        <v>2031</v>
      </c>
      <c r="M15" s="3">
        <f t="shared" si="2"/>
        <v>5.257217794877846</v>
      </c>
      <c r="N15" s="4">
        <f t="shared" ref="N15:N16" si="17">+N14</f>
        <v>448.12</v>
      </c>
      <c r="O15" s="3">
        <f>+O14</f>
        <v>315</v>
      </c>
      <c r="P15" s="3">
        <f t="shared" si="16"/>
        <v>61.86837949389632</v>
      </c>
      <c r="Q15" s="3">
        <f>+Q14</f>
        <v>0.93279807139310722</v>
      </c>
      <c r="R15" s="3">
        <f t="shared" si="15"/>
        <v>56.611161699018474</v>
      </c>
      <c r="U15" s="56">
        <f t="shared" si="8"/>
        <v>2031</v>
      </c>
      <c r="V15" s="9">
        <f>+'[11]Colector Baquedano'!$V$23</f>
        <v>2473.4241768088987</v>
      </c>
      <c r="W15" s="34">
        <f>+'[11]Colector Baquedano'!$U$23</f>
        <v>5.3519196061882655</v>
      </c>
      <c r="X15" s="44">
        <f t="shared" si="3"/>
        <v>3.5122416317218086</v>
      </c>
      <c r="Y15" s="34">
        <f t="shared" si="9"/>
        <v>18.797234850482614</v>
      </c>
      <c r="Z15" s="34">
        <f t="shared" si="10"/>
        <v>1.0703839212376531</v>
      </c>
      <c r="AA15" s="34">
        <f t="shared" si="11"/>
        <v>19.867618771720267</v>
      </c>
      <c r="AB15" s="34">
        <f>+'[11]Colector Baquedano'!$AA$23</f>
        <v>100.4326499122969</v>
      </c>
      <c r="AC15" s="57">
        <f t="shared" si="12"/>
        <v>120.30026868401717</v>
      </c>
      <c r="AE15" s="46">
        <f t="shared" si="13"/>
        <v>120.30026868401717</v>
      </c>
      <c r="AF15" s="46">
        <f t="shared" si="14"/>
        <v>0</v>
      </c>
    </row>
    <row r="16" spans="1:32" x14ac:dyDescent="0.3">
      <c r="B16" s="2">
        <f t="shared" si="4"/>
        <v>2032</v>
      </c>
      <c r="C16" s="3">
        <f t="shared" si="5"/>
        <v>115.04305088913932</v>
      </c>
      <c r="D16" s="3">
        <f t="shared" si="0"/>
        <v>115.04305088913932</v>
      </c>
      <c r="E16" s="3">
        <f t="shared" si="6"/>
        <v>0.9154835108689493</v>
      </c>
      <c r="F16" s="3">
        <f t="shared" si="6"/>
        <v>400</v>
      </c>
      <c r="G16" s="3">
        <f>+'[12]Colector Baquedano'!$AB$23</f>
        <v>122.29440062709861</v>
      </c>
      <c r="H16" s="3">
        <f t="shared" si="1"/>
        <v>-7.2513497379592877</v>
      </c>
      <c r="L16" s="2">
        <f t="shared" si="7"/>
        <v>2032</v>
      </c>
      <c r="M16" s="3">
        <f t="shared" si="2"/>
        <v>7.2513497379592877</v>
      </c>
      <c r="N16" s="4">
        <f t="shared" si="17"/>
        <v>448.12</v>
      </c>
      <c r="O16" s="3">
        <f>+'[17]Colector Baquedano (c_Proy)'!$E$80</f>
        <v>315</v>
      </c>
      <c r="P16" s="3">
        <f>+'[17]Colector Baquedano (c_Proy)'!$AL$80</f>
        <v>61.86837949389632</v>
      </c>
      <c r="Q16" s="3">
        <f>+P16/1000/(0.25*PI()*(S16/1000)^2)</f>
        <v>0.93279807139310722</v>
      </c>
      <c r="R16" s="3">
        <f t="shared" ref="R16:R17" si="18">+P16-M16</f>
        <v>54.617029755937033</v>
      </c>
      <c r="S16" s="12">
        <f>+'[17]Colector Baquedano (c_Proy)'!$F$80</f>
        <v>290.60000000000002</v>
      </c>
      <c r="U16" s="56">
        <f t="shared" si="8"/>
        <v>2032</v>
      </c>
      <c r="V16" s="9">
        <f>+'[12]Colector Baquedano'!$V$23</f>
        <v>2492.8900369757293</v>
      </c>
      <c r="W16" s="34">
        <f>+'[12]Colector Baquedano'!$U$23</f>
        <v>5.4641584354604369</v>
      </c>
      <c r="X16" s="44">
        <f t="shared" si="3"/>
        <v>3.5094602791980116</v>
      </c>
      <c r="Y16" s="34">
        <f t="shared" si="9"/>
        <v>19.176246988493155</v>
      </c>
      <c r="Z16" s="34">
        <f t="shared" si="10"/>
        <v>1.0928316870920873</v>
      </c>
      <c r="AA16" s="34">
        <f t="shared" si="11"/>
        <v>20.269078675585241</v>
      </c>
      <c r="AB16" s="34">
        <f>+'[12]Colector Baquedano'!$AA$23</f>
        <v>102.02532195151336</v>
      </c>
      <c r="AC16" s="57">
        <f t="shared" si="12"/>
        <v>122.29440062709861</v>
      </c>
      <c r="AE16" s="46">
        <f t="shared" si="13"/>
        <v>122.29440062709861</v>
      </c>
      <c r="AF16" s="46">
        <f t="shared" si="14"/>
        <v>0</v>
      </c>
    </row>
    <row r="17" spans="1:32" x14ac:dyDescent="0.3">
      <c r="B17" s="2">
        <f t="shared" si="4"/>
        <v>2033</v>
      </c>
      <c r="C17" s="3">
        <f t="shared" si="5"/>
        <v>115.04305088913932</v>
      </c>
      <c r="D17" s="3">
        <f t="shared" si="0"/>
        <v>115.04305088913932</v>
      </c>
      <c r="E17" s="3">
        <f t="shared" si="6"/>
        <v>0.9154835108689493</v>
      </c>
      <c r="F17" s="3">
        <f t="shared" si="6"/>
        <v>400</v>
      </c>
      <c r="G17" s="3">
        <f>+'[13]Colector Baquedano'!$AB$23</f>
        <v>124.29286032189049</v>
      </c>
      <c r="H17" s="3">
        <f t="shared" si="1"/>
        <v>-9.2498094327511637</v>
      </c>
      <c r="L17" s="2">
        <f t="shared" si="7"/>
        <v>2033</v>
      </c>
      <c r="M17" s="3">
        <f>+IF(H17&gt;0,"",-H17)</f>
        <v>9.2498094327511637</v>
      </c>
      <c r="N17" s="4">
        <f>+N16</f>
        <v>448.12</v>
      </c>
      <c r="O17" s="3">
        <f>+O16</f>
        <v>315</v>
      </c>
      <c r="P17" s="3">
        <f>+P16</f>
        <v>61.86837949389632</v>
      </c>
      <c r="Q17" s="3">
        <f>+Q16</f>
        <v>0.93279807139310722</v>
      </c>
      <c r="R17" s="3">
        <f t="shared" si="18"/>
        <v>52.618570061145157</v>
      </c>
      <c r="U17" s="56">
        <f t="shared" si="8"/>
        <v>2033</v>
      </c>
      <c r="V17" s="9">
        <f>+'[13]Colector Baquedano'!$V$23</f>
        <v>2512.4757397293397</v>
      </c>
      <c r="W17" s="34">
        <f>+'[13]Colector Baquedano'!$U$23</f>
        <v>5.5768016610249989</v>
      </c>
      <c r="X17" s="44">
        <f t="shared" si="3"/>
        <v>3.506678913588944</v>
      </c>
      <c r="Y17" s="34">
        <f t="shared" si="9"/>
        <v>19.556052789984161</v>
      </c>
      <c r="Z17" s="34">
        <f t="shared" si="10"/>
        <v>1.1153603322049999</v>
      </c>
      <c r="AA17" s="34">
        <f t="shared" si="11"/>
        <v>20.671413122189161</v>
      </c>
      <c r="AB17" s="34">
        <f>+'[13]Colector Baquedano'!$AA$23</f>
        <v>103.62144719970132</v>
      </c>
      <c r="AC17" s="57">
        <f t="shared" si="12"/>
        <v>124.29286032189049</v>
      </c>
      <c r="AE17" s="46">
        <f t="shared" si="13"/>
        <v>124.29286032189049</v>
      </c>
      <c r="AF17" s="46">
        <f t="shared" si="14"/>
        <v>0</v>
      </c>
    </row>
    <row r="18" spans="1:32" x14ac:dyDescent="0.3">
      <c r="B18" s="2">
        <f t="shared" si="4"/>
        <v>2034</v>
      </c>
      <c r="C18" s="3">
        <f t="shared" si="5"/>
        <v>115.04305088913932</v>
      </c>
      <c r="D18" s="3">
        <f t="shared" si="0"/>
        <v>115.04305088913932</v>
      </c>
      <c r="E18" s="3">
        <f t="shared" si="6"/>
        <v>0.9154835108689493</v>
      </c>
      <c r="F18" s="3">
        <f t="shared" si="6"/>
        <v>400</v>
      </c>
      <c r="G18" s="3">
        <f>+'[14]Colector Baquedano'!$AB$23</f>
        <v>126.31153454103007</v>
      </c>
      <c r="H18" s="3">
        <f t="shared" si="1"/>
        <v>-11.268483651890747</v>
      </c>
      <c r="L18" s="2">
        <f t="shared" si="7"/>
        <v>2034</v>
      </c>
      <c r="M18" s="3">
        <f>+IF(H18&gt;0,"",-H18)</f>
        <v>11.268483651890747</v>
      </c>
      <c r="N18" s="4">
        <f>+N17</f>
        <v>448.12</v>
      </c>
      <c r="O18" s="3">
        <f t="shared" ref="O18:P21" si="19">+O17</f>
        <v>315</v>
      </c>
      <c r="P18" s="3">
        <f t="shared" si="19"/>
        <v>61.86837949389632</v>
      </c>
      <c r="Q18" s="3">
        <f>+Q17</f>
        <v>0.93279807139310722</v>
      </c>
      <c r="R18" s="3">
        <f>+P18-M18</f>
        <v>50.599895842005573</v>
      </c>
      <c r="U18" s="56">
        <f t="shared" si="8"/>
        <v>2034</v>
      </c>
      <c r="V18" s="9">
        <f>+'[14]Colector Baquedano'!$V$23</f>
        <v>2532.1299239611094</v>
      </c>
      <c r="W18" s="34">
        <f>+'[14]Colector Baquedano'!$U$23</f>
        <v>5.6906930780927745</v>
      </c>
      <c r="X18" s="44">
        <f t="shared" si="3"/>
        <v>3.503904854347061</v>
      </c>
      <c r="Y18" s="34">
        <f t="shared" si="9"/>
        <v>19.939647100928489</v>
      </c>
      <c r="Z18" s="34">
        <f t="shared" si="10"/>
        <v>1.1381386156185549</v>
      </c>
      <c r="AA18" s="34">
        <f t="shared" si="11"/>
        <v>21.077785716547044</v>
      </c>
      <c r="AB18" s="34">
        <f>+'[14]Colector Baquedano'!$AA$23</f>
        <v>105.23374882448303</v>
      </c>
      <c r="AC18" s="57">
        <f t="shared" si="12"/>
        <v>126.31153454103007</v>
      </c>
      <c r="AE18" s="46">
        <f t="shared" si="13"/>
        <v>126.31153454103007</v>
      </c>
      <c r="AF18" s="46">
        <f t="shared" si="14"/>
        <v>0</v>
      </c>
    </row>
    <row r="19" spans="1:32" x14ac:dyDescent="0.3">
      <c r="B19" s="2">
        <f t="shared" si="4"/>
        <v>2035</v>
      </c>
      <c r="C19" s="3">
        <f t="shared" si="5"/>
        <v>115.04305088913932</v>
      </c>
      <c r="D19" s="3">
        <f t="shared" si="0"/>
        <v>115.04305088913932</v>
      </c>
      <c r="E19" s="3">
        <f t="shared" si="6"/>
        <v>0.9154835108689493</v>
      </c>
      <c r="F19" s="3">
        <f t="shared" si="6"/>
        <v>400</v>
      </c>
      <c r="G19" s="3">
        <f>+'[15]Colector Baquedano'!$AB$23</f>
        <v>128.3460517869278</v>
      </c>
      <c r="H19" s="3">
        <f t="shared" si="1"/>
        <v>-13.303000897788479</v>
      </c>
      <c r="L19" s="2">
        <f t="shared" si="7"/>
        <v>2035</v>
      </c>
      <c r="M19" s="3">
        <f>+IF(H19&gt;0,"",-H19)</f>
        <v>13.303000897788479</v>
      </c>
      <c r="N19" s="4">
        <f>+N18</f>
        <v>448.12</v>
      </c>
      <c r="O19" s="3">
        <f t="shared" si="19"/>
        <v>315</v>
      </c>
      <c r="P19" s="3">
        <f t="shared" si="19"/>
        <v>61.86837949389632</v>
      </c>
      <c r="Q19" s="3">
        <f>+Q18</f>
        <v>0.93279807139310722</v>
      </c>
      <c r="R19" s="3">
        <f>+P19-M19</f>
        <v>48.565378596107841</v>
      </c>
      <c r="U19" s="56">
        <f t="shared" si="8"/>
        <v>2035</v>
      </c>
      <c r="V19" s="9">
        <f>+'[15]Colector Baquedano'!$V$23</f>
        <v>2551.9210711491978</v>
      </c>
      <c r="W19" s="34">
        <f>+'[15]Colector Baquedano'!$U$23</f>
        <v>5.8056172798559338</v>
      </c>
      <c r="X19" s="44">
        <f t="shared" si="3"/>
        <v>3.5011284824939355</v>
      </c>
      <c r="Y19" s="34">
        <f t="shared" si="9"/>
        <v>20.326212016962575</v>
      </c>
      <c r="Z19" s="34">
        <f t="shared" si="10"/>
        <v>1.1611234559711867</v>
      </c>
      <c r="AA19" s="34">
        <f t="shared" si="11"/>
        <v>21.487335472933761</v>
      </c>
      <c r="AB19" s="34">
        <f>+'[15]Colector Baquedano'!$AA$23</f>
        <v>106.85871631399405</v>
      </c>
      <c r="AC19" s="57">
        <f t="shared" si="12"/>
        <v>128.3460517869278</v>
      </c>
      <c r="AE19" s="46">
        <f t="shared" si="13"/>
        <v>128.3460517869278</v>
      </c>
      <c r="AF19" s="46">
        <f t="shared" si="14"/>
        <v>0</v>
      </c>
    </row>
    <row r="20" spans="1:32" x14ac:dyDescent="0.3">
      <c r="B20" s="2">
        <f t="shared" si="4"/>
        <v>2036</v>
      </c>
      <c r="C20" s="3">
        <f t="shared" si="5"/>
        <v>115.04305088913932</v>
      </c>
      <c r="D20" s="3">
        <f t="shared" si="0"/>
        <v>115.04305088913932</v>
      </c>
      <c r="E20" s="3">
        <f t="shared" si="6"/>
        <v>0.9154835108689493</v>
      </c>
      <c r="F20" s="3">
        <f t="shared" si="6"/>
        <v>400</v>
      </c>
      <c r="G20" s="3">
        <f>+'[16]Colector Baquedano'!$AB$23</f>
        <v>130.40463979935248</v>
      </c>
      <c r="H20" s="3">
        <f t="shared" si="1"/>
        <v>-15.361588910213158</v>
      </c>
      <c r="L20" s="2">
        <f t="shared" si="7"/>
        <v>2036</v>
      </c>
      <c r="M20" s="3">
        <f>+IF(H20&gt;0,"",-H20)</f>
        <v>15.361588910213158</v>
      </c>
      <c r="N20" s="4">
        <f>+N19</f>
        <v>448.12</v>
      </c>
      <c r="O20" s="3">
        <f t="shared" si="19"/>
        <v>315</v>
      </c>
      <c r="P20" s="3">
        <f t="shared" si="19"/>
        <v>61.86837949389632</v>
      </c>
      <c r="Q20" s="3">
        <f>+Q19</f>
        <v>0.93279807139310722</v>
      </c>
      <c r="R20" s="3">
        <f>+P20-M20</f>
        <v>46.506790583683163</v>
      </c>
      <c r="U20" s="56">
        <f t="shared" si="8"/>
        <v>2036</v>
      </c>
      <c r="V20" s="9">
        <f>+'[16]Colector Baquedano'!$V$23</f>
        <v>2571.797820184986</v>
      </c>
      <c r="W20" s="34">
        <f>+'[16]Colector Baquedano'!$U$23</f>
        <v>5.9220070906562121</v>
      </c>
      <c r="X20" s="44">
        <f t="shared" si="3"/>
        <v>3.4983570710793388</v>
      </c>
      <c r="Y20" s="34">
        <f t="shared" si="9"/>
        <v>20.717295380579142</v>
      </c>
      <c r="Z20" s="34">
        <f t="shared" si="10"/>
        <v>1.1844014181312426</v>
      </c>
      <c r="AA20" s="34">
        <f t="shared" si="11"/>
        <v>21.901696798710383</v>
      </c>
      <c r="AB20" s="34">
        <f>+'[16]Colector Baquedano'!$AA$23</f>
        <v>108.50294300064209</v>
      </c>
      <c r="AC20" s="57">
        <f t="shared" si="12"/>
        <v>130.40463979935248</v>
      </c>
      <c r="AE20" s="46">
        <f t="shared" si="13"/>
        <v>130.40463979935248</v>
      </c>
      <c r="AF20" s="46">
        <f t="shared" si="14"/>
        <v>0</v>
      </c>
    </row>
    <row r="21" spans="1:32" ht="13.8" thickBot="1" x14ac:dyDescent="0.35">
      <c r="B21" s="2">
        <f t="shared" si="4"/>
        <v>2037</v>
      </c>
      <c r="C21" s="3">
        <f t="shared" si="5"/>
        <v>115.04305088913932</v>
      </c>
      <c r="D21" s="3">
        <f t="shared" si="0"/>
        <v>115.04305088913932</v>
      </c>
      <c r="E21" s="3">
        <f t="shared" si="6"/>
        <v>0.9154835108689493</v>
      </c>
      <c r="F21" s="3">
        <f t="shared" si="6"/>
        <v>400</v>
      </c>
      <c r="G21" s="3">
        <f>+'[17]Colector Baquedano'!$AB$23</f>
        <v>132.4668534767267</v>
      </c>
      <c r="H21" s="3">
        <f t="shared" si="1"/>
        <v>-17.423802587587375</v>
      </c>
      <c r="I21" s="13"/>
      <c r="L21" s="2">
        <f t="shared" si="7"/>
        <v>2037</v>
      </c>
      <c r="M21" s="3">
        <f>+IF(H21&gt;0,"",-H21)</f>
        <v>17.423802587587375</v>
      </c>
      <c r="N21" s="4">
        <f>+N20</f>
        <v>448.12</v>
      </c>
      <c r="O21" s="3">
        <f t="shared" si="19"/>
        <v>315</v>
      </c>
      <c r="P21" s="3">
        <f t="shared" si="19"/>
        <v>61.86837949389632</v>
      </c>
      <c r="Q21" s="3">
        <f>+Q20</f>
        <v>0.93279807139310722</v>
      </c>
      <c r="R21" s="3">
        <f>+P21-M21</f>
        <v>44.444576906308946</v>
      </c>
      <c r="U21" s="58">
        <f t="shared" si="8"/>
        <v>2037</v>
      </c>
      <c r="V21" s="59">
        <f>+'[17]Colector Baquedano'!$V$23</f>
        <v>2591.7944118075529</v>
      </c>
      <c r="W21" s="60">
        <f>+'[17]Colector Baquedano'!$U$23</f>
        <v>6.0387701008970689</v>
      </c>
      <c r="X21" s="61">
        <f t="shared" si="3"/>
        <v>3.4955858905492345</v>
      </c>
      <c r="Y21" s="60">
        <f>+X21*W21</f>
        <v>21.109039560966373</v>
      </c>
      <c r="Z21" s="60">
        <f t="shared" si="10"/>
        <v>1.2077540201794139</v>
      </c>
      <c r="AA21" s="60">
        <f t="shared" si="11"/>
        <v>22.316793581145788</v>
      </c>
      <c r="AB21" s="60">
        <f>+'[17]Colector Baquedano'!$AA$23</f>
        <v>110.15005989558091</v>
      </c>
      <c r="AC21" s="62">
        <f t="shared" si="12"/>
        <v>132.4668534767267</v>
      </c>
      <c r="AE21" s="46">
        <f t="shared" si="13"/>
        <v>132.4668534767267</v>
      </c>
      <c r="AF21" s="46">
        <f t="shared" si="14"/>
        <v>0</v>
      </c>
    </row>
    <row r="22" spans="1:32" x14ac:dyDescent="0.3">
      <c r="L22" s="9"/>
      <c r="AE22" s="46"/>
      <c r="AF22" s="46"/>
    </row>
    <row r="23" spans="1:32" x14ac:dyDescent="0.3">
      <c r="L23" s="9"/>
    </row>
    <row r="24" spans="1:32" ht="13.8" thickBot="1" x14ac:dyDescent="0.35"/>
    <row r="25" spans="1:32" x14ac:dyDescent="0.3">
      <c r="B25" s="5" t="s">
        <v>42</v>
      </c>
      <c r="E25" s="6" t="s">
        <v>7</v>
      </c>
      <c r="F25" s="7">
        <f>+SUM('[17]Colector Baquedano'!$M$24:$M$36)</f>
        <v>841.7700000000001</v>
      </c>
      <c r="G25" s="8" t="s">
        <v>8</v>
      </c>
      <c r="U25" s="47"/>
      <c r="V25" s="48" t="s">
        <v>98</v>
      </c>
      <c r="W25" s="49"/>
      <c r="X25" s="49"/>
      <c r="Y25" s="49"/>
      <c r="Z25" s="49"/>
      <c r="AA25" s="49"/>
      <c r="AB25" s="49"/>
      <c r="AC25" s="50"/>
    </row>
    <row r="26" spans="1:32" x14ac:dyDescent="0.3">
      <c r="B26" s="12" t="s">
        <v>72</v>
      </c>
      <c r="U26" s="51"/>
      <c r="V26" s="42" t="s">
        <v>188</v>
      </c>
      <c r="Z26" s="12" t="s">
        <v>189</v>
      </c>
      <c r="AC26" s="52"/>
    </row>
    <row r="27" spans="1:32" x14ac:dyDescent="0.3">
      <c r="B27" s="96" t="s">
        <v>0</v>
      </c>
      <c r="C27" s="96" t="s">
        <v>20</v>
      </c>
      <c r="D27" s="96" t="s">
        <v>1</v>
      </c>
      <c r="E27" s="96"/>
      <c r="F27" s="96"/>
      <c r="G27" s="96" t="s">
        <v>21</v>
      </c>
      <c r="H27" s="96" t="s">
        <v>2</v>
      </c>
      <c r="U27" s="51"/>
      <c r="Z27" s="53">
        <v>0.2</v>
      </c>
      <c r="AB27" s="43" t="s">
        <v>94</v>
      </c>
      <c r="AC27" s="52"/>
    </row>
    <row r="28" spans="1:32" x14ac:dyDescent="0.3">
      <c r="B28" s="96"/>
      <c r="C28" s="96"/>
      <c r="D28" s="18" t="s">
        <v>3</v>
      </c>
      <c r="E28" s="18" t="s">
        <v>4</v>
      </c>
      <c r="F28" s="18" t="s">
        <v>5</v>
      </c>
      <c r="G28" s="96"/>
      <c r="H28" s="96"/>
      <c r="U28" s="54" t="s">
        <v>0</v>
      </c>
      <c r="V28" s="45" t="s">
        <v>90</v>
      </c>
      <c r="W28" s="45" t="s">
        <v>99</v>
      </c>
      <c r="X28" s="45" t="s">
        <v>91</v>
      </c>
      <c r="Y28" s="45" t="s">
        <v>92</v>
      </c>
      <c r="Z28" s="45" t="s">
        <v>93</v>
      </c>
      <c r="AA28" s="45" t="s">
        <v>100</v>
      </c>
      <c r="AB28" s="45"/>
      <c r="AC28" s="55" t="s">
        <v>101</v>
      </c>
      <c r="AD28" s="45"/>
      <c r="AE28" s="45" t="s">
        <v>92</v>
      </c>
      <c r="AF28" s="45" t="s">
        <v>97</v>
      </c>
    </row>
    <row r="29" spans="1:32" x14ac:dyDescent="0.3">
      <c r="A29" s="12" t="s">
        <v>6</v>
      </c>
      <c r="B29" s="2">
        <f>+B6</f>
        <v>2022</v>
      </c>
      <c r="C29" s="3">
        <f>+SUMPRODUCT('[17]Colector Baquedano'!$AL$24:$AL$36,'[17]Colector Baquedano'!$M$24:$M$36)/F25</f>
        <v>282.63137018730788</v>
      </c>
      <c r="D29" s="3">
        <f t="shared" ref="D29:D44" si="20">+C29</f>
        <v>282.63137018730788</v>
      </c>
      <c r="E29" s="3">
        <f>D29/(0.25*PI()*(F29/1000)^2)/1000</f>
        <v>1.6537961447246434</v>
      </c>
      <c r="F29" s="3">
        <f>+SUMPRODUCT('[17]Colector Baquedano'!$F$24:$F$36,'[17]Colector Baquedano'!$M$24:$M$36)/F25</f>
        <v>466.47057509771071</v>
      </c>
      <c r="G29" s="3">
        <f>+'[2]Colector Baquedano'!$AB$36</f>
        <v>107.06447259765849</v>
      </c>
      <c r="H29" s="3">
        <f t="shared" ref="H29:H44" si="21">+D29-G29</f>
        <v>175.56689758964939</v>
      </c>
      <c r="U29" s="56">
        <f>+B29</f>
        <v>2022</v>
      </c>
      <c r="V29" s="9">
        <f>+'[2]Colector Baquedano'!$V$36</f>
        <v>2876.987117990825</v>
      </c>
      <c r="W29" s="34">
        <f>+'[2]Colector Baquedano'!$U$36</f>
        <v>5.7011923208792679</v>
      </c>
      <c r="X29" s="44">
        <f t="shared" ref="X29:X44" si="22">1+(14/(4+(SQRT(V29/1000))))</f>
        <v>3.457792520536549</v>
      </c>
      <c r="Y29" s="34">
        <f>+X29*W29</f>
        <v>19.71354016527674</v>
      </c>
      <c r="Z29" s="34">
        <f>+W29*$Z$27</f>
        <v>1.1402384641758536</v>
      </c>
      <c r="AA29" s="34">
        <f>+Z29+Y29</f>
        <v>20.853778629452595</v>
      </c>
      <c r="AB29" s="34">
        <f>+AB6</f>
        <v>86.210693968205902</v>
      </c>
      <c r="AC29" s="57">
        <f>+AB29+AA29</f>
        <v>107.06447259765849</v>
      </c>
      <c r="AE29" s="46">
        <f>+G29</f>
        <v>107.06447259765849</v>
      </c>
      <c r="AF29" s="46">
        <f>+AC29-AE29</f>
        <v>0</v>
      </c>
    </row>
    <row r="30" spans="1:32" x14ac:dyDescent="0.3">
      <c r="B30" s="2">
        <f t="shared" ref="B30:B44" si="23">+B29+1</f>
        <v>2023</v>
      </c>
      <c r="C30" s="3">
        <f t="shared" ref="C30:C44" si="24">+C29</f>
        <v>282.63137018730788</v>
      </c>
      <c r="D30" s="3">
        <f t="shared" si="20"/>
        <v>282.63137018730788</v>
      </c>
      <c r="E30" s="3">
        <f t="shared" ref="E30:E44" si="25">+E29</f>
        <v>1.6537961447246434</v>
      </c>
      <c r="F30" s="3">
        <f t="shared" ref="F30:F44" si="26">+F29</f>
        <v>466.47057509771071</v>
      </c>
      <c r="G30" s="3">
        <f>+'[3]Colector Baquedano'!$AB$36</f>
        <v>109.69738024429486</v>
      </c>
      <c r="H30" s="3">
        <f t="shared" si="21"/>
        <v>172.93398994301302</v>
      </c>
      <c r="U30" s="56">
        <f t="shared" ref="U30:U44" si="27">+B30</f>
        <v>2023</v>
      </c>
      <c r="V30" s="9">
        <f>+'[3]Colector Baquedano'!$V$36</f>
        <v>2900.2830638155638</v>
      </c>
      <c r="W30" s="34">
        <f>+'[3]Colector Baquedano'!$U$36</f>
        <v>5.8810813273952443</v>
      </c>
      <c r="X30" s="44">
        <f t="shared" si="22"/>
        <v>3.4548389653898708</v>
      </c>
      <c r="Y30" s="34">
        <f t="shared" ref="Y30:Y43" si="28">+X30*W30</f>
        <v>20.318188928511873</v>
      </c>
      <c r="Z30" s="34">
        <f t="shared" ref="Z30:Z44" si="29">+W30*$Z$27</f>
        <v>1.1762162654790489</v>
      </c>
      <c r="AA30" s="34">
        <f t="shared" ref="AA30:AA44" si="30">+Z30+Y30</f>
        <v>21.494405193990922</v>
      </c>
      <c r="AB30" s="34">
        <f t="shared" ref="AB30:AB44" si="31">+AB7</f>
        <v>88.202975050303948</v>
      </c>
      <c r="AC30" s="57">
        <f t="shared" ref="AC30:AC44" si="32">+AB30+AA30</f>
        <v>109.69738024429486</v>
      </c>
      <c r="AE30" s="46">
        <f t="shared" ref="AE30:AE44" si="33">+G30</f>
        <v>109.69738024429486</v>
      </c>
      <c r="AF30" s="46">
        <f t="shared" ref="AF30:AF44" si="34">+AC30-AE30</f>
        <v>0</v>
      </c>
    </row>
    <row r="31" spans="1:32" x14ac:dyDescent="0.3">
      <c r="B31" s="2">
        <f t="shared" si="23"/>
        <v>2024</v>
      </c>
      <c r="C31" s="3">
        <f t="shared" si="24"/>
        <v>282.63137018730788</v>
      </c>
      <c r="D31" s="3">
        <f t="shared" si="20"/>
        <v>282.63137018730788</v>
      </c>
      <c r="E31" s="3">
        <f t="shared" si="25"/>
        <v>1.6537961447246434</v>
      </c>
      <c r="F31" s="3">
        <f t="shared" si="26"/>
        <v>466.47057509771071</v>
      </c>
      <c r="G31" s="3">
        <f>+'[4]Colector Baquedano'!$AB$36</f>
        <v>111.66447550939441</v>
      </c>
      <c r="H31" s="3">
        <f t="shared" si="21"/>
        <v>170.96689467791347</v>
      </c>
      <c r="U31" s="56">
        <f t="shared" si="27"/>
        <v>2024</v>
      </c>
      <c r="V31" s="9">
        <f>+'[4]Colector Baquedano'!$V$36</f>
        <v>2923.6859699057945</v>
      </c>
      <c r="W31" s="34">
        <f>+'[4]Colector Baquedano'!$U$36</f>
        <v>6.017094506272934</v>
      </c>
      <c r="X31" s="44">
        <f t="shared" si="22"/>
        <v>3.4518908651357019</v>
      </c>
      <c r="Y31" s="34">
        <f t="shared" si="28"/>
        <v>20.770353560861757</v>
      </c>
      <c r="Z31" s="34">
        <f t="shared" si="29"/>
        <v>1.2034189012545868</v>
      </c>
      <c r="AA31" s="34">
        <f t="shared" si="30"/>
        <v>21.973772462116344</v>
      </c>
      <c r="AB31" s="34">
        <f t="shared" si="31"/>
        <v>89.690703047278063</v>
      </c>
      <c r="AC31" s="57">
        <f t="shared" si="32"/>
        <v>111.66447550939441</v>
      </c>
      <c r="AE31" s="46">
        <f t="shared" si="33"/>
        <v>111.66447550939441</v>
      </c>
      <c r="AF31" s="46">
        <f t="shared" si="34"/>
        <v>0</v>
      </c>
    </row>
    <row r="32" spans="1:32" x14ac:dyDescent="0.3">
      <c r="B32" s="2">
        <f t="shared" si="23"/>
        <v>2025</v>
      </c>
      <c r="C32" s="3">
        <f t="shared" si="24"/>
        <v>282.63137018730788</v>
      </c>
      <c r="D32" s="3">
        <f t="shared" si="20"/>
        <v>282.63137018730788</v>
      </c>
      <c r="E32" s="3">
        <f t="shared" si="25"/>
        <v>1.6537961447246434</v>
      </c>
      <c r="F32" s="3">
        <f t="shared" si="26"/>
        <v>466.47057509771071</v>
      </c>
      <c r="G32" s="3">
        <f>+'[5]Colector Baquedano'!$AB$36</f>
        <v>113.6378222148698</v>
      </c>
      <c r="H32" s="3">
        <f t="shared" si="21"/>
        <v>168.99354797243808</v>
      </c>
      <c r="U32" s="56">
        <f t="shared" si="27"/>
        <v>2025</v>
      </c>
      <c r="V32" s="9">
        <f>+'[5]Colector Baquedano'!$V$36</f>
        <v>2947.1744442084228</v>
      </c>
      <c r="W32" s="34">
        <f>+'[5]Colector Baquedano'!$U$36</f>
        <v>6.1537185328078285</v>
      </c>
      <c r="X32" s="44">
        <f t="shared" si="22"/>
        <v>3.4489508945951348</v>
      </c>
      <c r="Y32" s="34">
        <f t="shared" si="28"/>
        <v>21.223873038814222</v>
      </c>
      <c r="Z32" s="34">
        <f t="shared" si="29"/>
        <v>1.2307437065615658</v>
      </c>
      <c r="AA32" s="34">
        <f t="shared" si="30"/>
        <v>22.454616745375787</v>
      </c>
      <c r="AB32" s="34">
        <f t="shared" si="31"/>
        <v>91.183205469494013</v>
      </c>
      <c r="AC32" s="57">
        <f t="shared" si="32"/>
        <v>113.6378222148698</v>
      </c>
      <c r="AE32" s="46">
        <f t="shared" si="33"/>
        <v>113.6378222148698</v>
      </c>
      <c r="AF32" s="46">
        <f t="shared" si="34"/>
        <v>0</v>
      </c>
    </row>
    <row r="33" spans="2:32" x14ac:dyDescent="0.3">
      <c r="B33" s="2">
        <f t="shared" si="23"/>
        <v>2026</v>
      </c>
      <c r="C33" s="3">
        <f t="shared" si="24"/>
        <v>282.63137018730788</v>
      </c>
      <c r="D33" s="3">
        <f t="shared" si="20"/>
        <v>282.63137018730788</v>
      </c>
      <c r="E33" s="3">
        <f t="shared" si="25"/>
        <v>1.6537961447246434</v>
      </c>
      <c r="F33" s="3">
        <f t="shared" si="26"/>
        <v>466.47057509771071</v>
      </c>
      <c r="G33" s="3">
        <f>+'[6]Colector Baquedano'!$AB$36</f>
        <v>115.63214431935258</v>
      </c>
      <c r="H33" s="3">
        <f t="shared" si="21"/>
        <v>166.99922586795532</v>
      </c>
      <c r="U33" s="56">
        <f t="shared" si="27"/>
        <v>2026</v>
      </c>
      <c r="V33" s="9">
        <f>+'[6]Colector Baquedano'!$V$36</f>
        <v>2970.7912708296444</v>
      </c>
      <c r="W33" s="34">
        <f>+'[6]Colector Baquedano'!$U$36</f>
        <v>6.2919425404530189</v>
      </c>
      <c r="X33" s="44">
        <f t="shared" si="22"/>
        <v>3.4460137041093257</v>
      </c>
      <c r="Y33" s="34">
        <f t="shared" si="28"/>
        <v>21.68212021986955</v>
      </c>
      <c r="Z33" s="34">
        <f t="shared" si="29"/>
        <v>1.2583885080906039</v>
      </c>
      <c r="AA33" s="34">
        <f t="shared" si="30"/>
        <v>22.940508727960154</v>
      </c>
      <c r="AB33" s="34">
        <f t="shared" si="31"/>
        <v>92.691635591392426</v>
      </c>
      <c r="AC33" s="57">
        <f t="shared" si="32"/>
        <v>115.63214431935258</v>
      </c>
      <c r="AE33" s="46">
        <f t="shared" si="33"/>
        <v>115.63214431935258</v>
      </c>
      <c r="AF33" s="46">
        <f t="shared" si="34"/>
        <v>0</v>
      </c>
    </row>
    <row r="34" spans="2:32" x14ac:dyDescent="0.3">
      <c r="B34" s="2">
        <f t="shared" si="23"/>
        <v>2027</v>
      </c>
      <c r="C34" s="3">
        <f t="shared" si="24"/>
        <v>282.63137018730788</v>
      </c>
      <c r="D34" s="3">
        <f t="shared" si="20"/>
        <v>282.63137018730788</v>
      </c>
      <c r="E34" s="3">
        <f t="shared" si="25"/>
        <v>1.6537961447246434</v>
      </c>
      <c r="F34" s="3">
        <f t="shared" si="26"/>
        <v>466.47057509771071</v>
      </c>
      <c r="G34" s="3">
        <f>+'[7]Colector Baquedano'!$AB$36</f>
        <v>117.64373280727773</v>
      </c>
      <c r="H34" s="3">
        <f t="shared" si="21"/>
        <v>164.98763738003015</v>
      </c>
      <c r="U34" s="56">
        <f t="shared" si="27"/>
        <v>2027</v>
      </c>
      <c r="V34" s="9">
        <f>+'[7]Colector Baquedano'!$V$36</f>
        <v>2994.5150577163608</v>
      </c>
      <c r="W34" s="34">
        <f>+'[7]Colector Baquedano'!$U$36</f>
        <v>6.4315180640196514</v>
      </c>
      <c r="X34" s="44">
        <f t="shared" si="22"/>
        <v>3.4430819847749858</v>
      </c>
      <c r="Y34" s="34">
        <f t="shared" si="28"/>
        <v>22.144243980980956</v>
      </c>
      <c r="Z34" s="34">
        <f t="shared" si="29"/>
        <v>1.2863036128039305</v>
      </c>
      <c r="AA34" s="34">
        <f t="shared" si="30"/>
        <v>23.430547593784887</v>
      </c>
      <c r="AB34" s="34">
        <f t="shared" si="31"/>
        <v>94.213185213492849</v>
      </c>
      <c r="AC34" s="57">
        <f t="shared" si="32"/>
        <v>117.64373280727773</v>
      </c>
      <c r="AE34" s="46">
        <f t="shared" si="33"/>
        <v>117.64373280727773</v>
      </c>
      <c r="AF34" s="46">
        <f t="shared" si="34"/>
        <v>0</v>
      </c>
    </row>
    <row r="35" spans="2:32" x14ac:dyDescent="0.3">
      <c r="B35" s="2">
        <f t="shared" si="23"/>
        <v>2028</v>
      </c>
      <c r="C35" s="3">
        <f t="shared" si="24"/>
        <v>282.63137018730788</v>
      </c>
      <c r="D35" s="3">
        <f t="shared" si="20"/>
        <v>282.63137018730788</v>
      </c>
      <c r="E35" s="3">
        <f t="shared" si="25"/>
        <v>1.6537961447246434</v>
      </c>
      <c r="F35" s="3">
        <f t="shared" si="26"/>
        <v>466.47057509771071</v>
      </c>
      <c r="G35" s="3">
        <f>+'[8]Colector Baquedano'!$AB$36</f>
        <v>119.68025735267003</v>
      </c>
      <c r="H35" s="3">
        <f t="shared" si="21"/>
        <v>162.95111283463785</v>
      </c>
      <c r="U35" s="56">
        <f t="shared" si="27"/>
        <v>2028</v>
      </c>
      <c r="V35" s="9">
        <f>+'[8]Colector Baquedano'!$V$36</f>
        <v>3018.3671969216707</v>
      </c>
      <c r="W35" s="34">
        <f>+'[8]Colector Baquedano'!$U$36</f>
        <v>6.572963273067721</v>
      </c>
      <c r="X35" s="44">
        <f t="shared" si="22"/>
        <v>3.4401531226545292</v>
      </c>
      <c r="Y35" s="34">
        <f t="shared" si="28"/>
        <v>22.612000128937456</v>
      </c>
      <c r="Z35" s="34">
        <f t="shared" si="29"/>
        <v>1.3145926546135442</v>
      </c>
      <c r="AA35" s="34">
        <f t="shared" si="30"/>
        <v>23.926592783551001</v>
      </c>
      <c r="AB35" s="34">
        <f t="shared" si="31"/>
        <v>95.753664569119024</v>
      </c>
      <c r="AC35" s="57">
        <f t="shared" si="32"/>
        <v>119.68025735267003</v>
      </c>
      <c r="AE35" s="46">
        <f t="shared" si="33"/>
        <v>119.68025735267003</v>
      </c>
      <c r="AF35" s="46">
        <f t="shared" si="34"/>
        <v>0</v>
      </c>
    </row>
    <row r="36" spans="2:32" x14ac:dyDescent="0.3">
      <c r="B36" s="2">
        <f t="shared" si="23"/>
        <v>2029</v>
      </c>
      <c r="C36" s="3">
        <f t="shared" si="24"/>
        <v>282.63137018730788</v>
      </c>
      <c r="D36" s="3">
        <f t="shared" si="20"/>
        <v>282.63137018730788</v>
      </c>
      <c r="E36" s="3">
        <f t="shared" si="25"/>
        <v>1.6537961447246434</v>
      </c>
      <c r="F36" s="3">
        <f t="shared" si="26"/>
        <v>466.47057509771071</v>
      </c>
      <c r="G36" s="3">
        <f>+'[9]Colector Baquedano'!$AB$36</f>
        <v>121.72229640136477</v>
      </c>
      <c r="H36" s="3">
        <f t="shared" si="21"/>
        <v>160.90907378594312</v>
      </c>
      <c r="U36" s="56">
        <f t="shared" si="27"/>
        <v>2029</v>
      </c>
      <c r="V36" s="9">
        <f>+'[9]Colector Baquedano'!$V$36</f>
        <v>3042.3049043393762</v>
      </c>
      <c r="W36" s="34">
        <f>+'[9]Colector Baquedano'!$U$36</f>
        <v>6.714978505153784</v>
      </c>
      <c r="X36" s="44">
        <f t="shared" si="22"/>
        <v>3.4372323753003196</v>
      </c>
      <c r="Y36" s="34">
        <f t="shared" si="28"/>
        <v>23.08094151736033</v>
      </c>
      <c r="Z36" s="34">
        <f t="shared" si="29"/>
        <v>1.3429957010307569</v>
      </c>
      <c r="AA36" s="34">
        <f t="shared" si="30"/>
        <v>24.423937218391085</v>
      </c>
      <c r="AB36" s="34">
        <f t="shared" si="31"/>
        <v>97.298359182973684</v>
      </c>
      <c r="AC36" s="57">
        <f t="shared" si="32"/>
        <v>121.72229640136477</v>
      </c>
      <c r="AE36" s="46">
        <f t="shared" si="33"/>
        <v>121.72229640136477</v>
      </c>
      <c r="AF36" s="46">
        <f t="shared" si="34"/>
        <v>0</v>
      </c>
    </row>
    <row r="37" spans="2:32" x14ac:dyDescent="0.3">
      <c r="B37" s="2">
        <f t="shared" si="23"/>
        <v>2030</v>
      </c>
      <c r="C37" s="3">
        <f t="shared" si="24"/>
        <v>282.63137018730788</v>
      </c>
      <c r="D37" s="3">
        <f t="shared" si="20"/>
        <v>282.63137018730788</v>
      </c>
      <c r="E37" s="3">
        <f t="shared" si="25"/>
        <v>1.6537961447246434</v>
      </c>
      <c r="F37" s="3">
        <f t="shared" si="26"/>
        <v>466.47057509771071</v>
      </c>
      <c r="G37" s="3">
        <f>+'[10]Colector Baquedano'!$AB$36</f>
        <v>123.78538646608288</v>
      </c>
      <c r="H37" s="3">
        <f t="shared" si="21"/>
        <v>158.845983721225</v>
      </c>
      <c r="U37" s="56">
        <f t="shared" si="27"/>
        <v>2030</v>
      </c>
      <c r="V37" s="9">
        <f>+'[10]Colector Baquedano'!$V$36</f>
        <v>3066.3709640756765</v>
      </c>
      <c r="W37" s="34">
        <f>+'[10]Colector Baquedano'!$U$36</f>
        <v>6.8586104278764051</v>
      </c>
      <c r="X37" s="44">
        <f t="shared" si="22"/>
        <v>3.4343145258001111</v>
      </c>
      <c r="Y37" s="34">
        <f t="shared" si="28"/>
        <v>23.554625419260052</v>
      </c>
      <c r="Z37" s="34">
        <f t="shared" si="29"/>
        <v>1.3717220855752812</v>
      </c>
      <c r="AA37" s="34">
        <f t="shared" si="30"/>
        <v>24.926347504835334</v>
      </c>
      <c r="AB37" s="34">
        <f t="shared" si="31"/>
        <v>98.859038961247549</v>
      </c>
      <c r="AC37" s="57">
        <f t="shared" si="32"/>
        <v>123.78538646608288</v>
      </c>
      <c r="AE37" s="46">
        <f t="shared" si="33"/>
        <v>123.78538646608288</v>
      </c>
      <c r="AF37" s="46">
        <f t="shared" si="34"/>
        <v>0</v>
      </c>
    </row>
    <row r="38" spans="2:32" x14ac:dyDescent="0.3">
      <c r="B38" s="2">
        <f t="shared" si="23"/>
        <v>2031</v>
      </c>
      <c r="C38" s="3">
        <f t="shared" si="24"/>
        <v>282.63137018730788</v>
      </c>
      <c r="D38" s="3">
        <f t="shared" si="20"/>
        <v>282.63137018730788</v>
      </c>
      <c r="E38" s="3">
        <f t="shared" si="25"/>
        <v>1.6537961447246434</v>
      </c>
      <c r="F38" s="3">
        <f t="shared" si="26"/>
        <v>466.47057509771071</v>
      </c>
      <c r="G38" s="3">
        <f>+'[11]Colector Baquedano'!$AB$36</f>
        <v>125.8654980621028</v>
      </c>
      <c r="H38" s="3">
        <f t="shared" si="21"/>
        <v>156.76587212520508</v>
      </c>
      <c r="U38" s="56">
        <f t="shared" si="27"/>
        <v>2031</v>
      </c>
      <c r="V38" s="9">
        <f>+'[11]Colector Baquedano'!$V$36</f>
        <v>3090.5653761305693</v>
      </c>
      <c r="W38" s="34">
        <f>+'[11]Colector Baquedano'!$U$36</f>
        <v>7.0035938665204656</v>
      </c>
      <c r="X38" s="44">
        <f t="shared" si="22"/>
        <v>3.4313996263237767</v>
      </c>
      <c r="Y38" s="34">
        <f t="shared" si="28"/>
        <v>24.032129376501821</v>
      </c>
      <c r="Z38" s="34">
        <f t="shared" si="29"/>
        <v>1.4007187733040931</v>
      </c>
      <c r="AA38" s="34">
        <f t="shared" si="30"/>
        <v>25.432848149805913</v>
      </c>
      <c r="AB38" s="34">
        <f t="shared" si="31"/>
        <v>100.4326499122969</v>
      </c>
      <c r="AC38" s="57">
        <f t="shared" si="32"/>
        <v>125.8654980621028</v>
      </c>
      <c r="AE38" s="46">
        <f t="shared" si="33"/>
        <v>125.8654980621028</v>
      </c>
      <c r="AF38" s="46">
        <f t="shared" si="34"/>
        <v>0</v>
      </c>
    </row>
    <row r="39" spans="2:32" x14ac:dyDescent="0.3">
      <c r="B39" s="2">
        <f t="shared" si="23"/>
        <v>2032</v>
      </c>
      <c r="C39" s="3">
        <f t="shared" si="24"/>
        <v>282.63137018730788</v>
      </c>
      <c r="D39" s="3">
        <f t="shared" si="20"/>
        <v>282.63137018730788</v>
      </c>
      <c r="E39" s="3">
        <f t="shared" si="25"/>
        <v>1.6537961447246434</v>
      </c>
      <c r="F39" s="3">
        <f t="shared" si="26"/>
        <v>466.47057509771071</v>
      </c>
      <c r="G39" s="3">
        <f>+'[12]Colector Baquedano'!$AB$36</f>
        <v>127.97071860704811</v>
      </c>
      <c r="H39" s="3">
        <f t="shared" si="21"/>
        <v>154.66065158025975</v>
      </c>
      <c r="U39" s="56">
        <f t="shared" si="27"/>
        <v>2032</v>
      </c>
      <c r="V39" s="9">
        <f>+'[12]Colector Baquedano'!$V$36</f>
        <v>3114.8881405040547</v>
      </c>
      <c r="W39" s="34">
        <f>+'[12]Colector Baquedano'!$U$36</f>
        <v>7.1504711057389141</v>
      </c>
      <c r="X39" s="44">
        <f t="shared" si="22"/>
        <v>3.4284877278521098</v>
      </c>
      <c r="Y39" s="34">
        <f t="shared" si="28"/>
        <v>24.515302434386971</v>
      </c>
      <c r="Z39" s="34">
        <f t="shared" si="29"/>
        <v>1.430094221147783</v>
      </c>
      <c r="AA39" s="34">
        <f t="shared" si="30"/>
        <v>25.945396655534754</v>
      </c>
      <c r="AB39" s="34">
        <f t="shared" si="31"/>
        <v>102.02532195151336</v>
      </c>
      <c r="AC39" s="57">
        <f t="shared" si="32"/>
        <v>127.97071860704811</v>
      </c>
      <c r="AE39" s="46">
        <f t="shared" si="33"/>
        <v>127.97071860704811</v>
      </c>
      <c r="AF39" s="46">
        <f t="shared" si="34"/>
        <v>0</v>
      </c>
    </row>
    <row r="40" spans="2:32" x14ac:dyDescent="0.3">
      <c r="B40" s="2">
        <f t="shared" si="23"/>
        <v>2033</v>
      </c>
      <c r="C40" s="3">
        <f t="shared" si="24"/>
        <v>282.63137018730788</v>
      </c>
      <c r="D40" s="3">
        <f t="shared" si="20"/>
        <v>282.63137018730788</v>
      </c>
      <c r="E40" s="3">
        <f t="shared" si="25"/>
        <v>1.6537961447246434</v>
      </c>
      <c r="F40" s="3">
        <f t="shared" si="26"/>
        <v>466.47057509771071</v>
      </c>
      <c r="G40" s="3">
        <f>+'[13]Colector Baquedano'!$AB$36</f>
        <v>130.08045937718776</v>
      </c>
      <c r="H40" s="3">
        <f t="shared" si="21"/>
        <v>152.55091081012012</v>
      </c>
      <c r="U40" s="56">
        <f t="shared" si="27"/>
        <v>2033</v>
      </c>
      <c r="V40" s="9">
        <f>+'[13]Colector Baquedano'!$V$36</f>
        <v>3139.3606492492336</v>
      </c>
      <c r="W40" s="34">
        <f>+'[13]Colector Baquedano'!$U$36</f>
        <v>7.2978775433761411</v>
      </c>
      <c r="X40" s="44">
        <f t="shared" si="22"/>
        <v>3.4255763432892556</v>
      </c>
      <c r="Y40" s="34">
        <f t="shared" si="28"/>
        <v>24.999436668811217</v>
      </c>
      <c r="Z40" s="34">
        <f t="shared" si="29"/>
        <v>1.4595755086752282</v>
      </c>
      <c r="AA40" s="34">
        <f t="shared" si="30"/>
        <v>26.459012177486446</v>
      </c>
      <c r="AB40" s="34">
        <f t="shared" si="31"/>
        <v>103.62144719970132</v>
      </c>
      <c r="AC40" s="57">
        <f t="shared" si="32"/>
        <v>130.08045937718776</v>
      </c>
      <c r="AE40" s="46">
        <f t="shared" si="33"/>
        <v>130.08045937718776</v>
      </c>
      <c r="AF40" s="46">
        <f t="shared" si="34"/>
        <v>0</v>
      </c>
    </row>
    <row r="41" spans="2:32" x14ac:dyDescent="0.3">
      <c r="B41" s="2">
        <f t="shared" si="23"/>
        <v>2034</v>
      </c>
      <c r="C41" s="3">
        <f t="shared" si="24"/>
        <v>282.63137018730788</v>
      </c>
      <c r="D41" s="3">
        <f t="shared" si="20"/>
        <v>282.63137018730788</v>
      </c>
      <c r="E41" s="3">
        <f t="shared" si="25"/>
        <v>1.6537961447246434</v>
      </c>
      <c r="F41" s="3">
        <f t="shared" si="26"/>
        <v>466.47057509771071</v>
      </c>
      <c r="G41" s="3">
        <f>+'[14]Colector Baquedano'!$AB$36</f>
        <v>132.21149633771671</v>
      </c>
      <c r="H41" s="3">
        <f t="shared" si="21"/>
        <v>150.41987384959117</v>
      </c>
      <c r="U41" s="56">
        <f t="shared" si="27"/>
        <v>2034</v>
      </c>
      <c r="V41" s="9">
        <f>+'[14]Colector Baquedano'!$V$36</f>
        <v>3163.9187262068081</v>
      </c>
      <c r="W41" s="34">
        <f>+'[14]Colector Baquedano'!$U$36</f>
        <v>7.4469173811761893</v>
      </c>
      <c r="X41" s="44">
        <f t="shared" si="22"/>
        <v>3.422673132029932</v>
      </c>
      <c r="Y41" s="34">
        <f t="shared" si="28"/>
        <v>25.488364036998448</v>
      </c>
      <c r="Z41" s="34">
        <f t="shared" si="29"/>
        <v>1.489383476235238</v>
      </c>
      <c r="AA41" s="34">
        <f t="shared" si="30"/>
        <v>26.977747513233687</v>
      </c>
      <c r="AB41" s="34">
        <f t="shared" si="31"/>
        <v>105.23374882448303</v>
      </c>
      <c r="AC41" s="57">
        <f t="shared" si="32"/>
        <v>132.21149633771671</v>
      </c>
      <c r="AE41" s="46">
        <f t="shared" si="33"/>
        <v>132.21149633771671</v>
      </c>
      <c r="AF41" s="46">
        <f t="shared" si="34"/>
        <v>0</v>
      </c>
    </row>
    <row r="42" spans="2:32" x14ac:dyDescent="0.3">
      <c r="B42" s="2">
        <f t="shared" si="23"/>
        <v>2035</v>
      </c>
      <c r="C42" s="3">
        <f t="shared" si="24"/>
        <v>282.63137018730788</v>
      </c>
      <c r="D42" s="3">
        <f t="shared" si="20"/>
        <v>282.63137018730788</v>
      </c>
      <c r="E42" s="3">
        <f t="shared" si="25"/>
        <v>1.6537961447246434</v>
      </c>
      <c r="F42" s="3">
        <f t="shared" si="26"/>
        <v>466.47057509771071</v>
      </c>
      <c r="G42" s="3">
        <f>+'[15]Colector Baquedano'!$AB$36</f>
        <v>134.35921155397415</v>
      </c>
      <c r="H42" s="3">
        <f t="shared" si="21"/>
        <v>148.27215863333373</v>
      </c>
      <c r="U42" s="56">
        <f t="shared" si="27"/>
        <v>2035</v>
      </c>
      <c r="V42" s="9">
        <f>+'[15]Colector Baquedano'!$V$36</f>
        <v>3188.6479395891738</v>
      </c>
      <c r="W42" s="34">
        <f>+'[15]Colector Baquedano'!$U$36</f>
        <v>7.5973087348976787</v>
      </c>
      <c r="X42" s="44">
        <f t="shared" si="22"/>
        <v>3.4197680257034455</v>
      </c>
      <c r="Y42" s="34">
        <f t="shared" si="28"/>
        <v>25.981033493000577</v>
      </c>
      <c r="Z42" s="34">
        <f t="shared" si="29"/>
        <v>1.5194617469795357</v>
      </c>
      <c r="AA42" s="34">
        <f t="shared" si="30"/>
        <v>27.500495239980111</v>
      </c>
      <c r="AB42" s="34">
        <f t="shared" si="31"/>
        <v>106.85871631399405</v>
      </c>
      <c r="AC42" s="57">
        <f t="shared" si="32"/>
        <v>134.35921155397415</v>
      </c>
      <c r="AE42" s="46">
        <f t="shared" si="33"/>
        <v>134.35921155397415</v>
      </c>
      <c r="AF42" s="46">
        <f t="shared" si="34"/>
        <v>0</v>
      </c>
    </row>
    <row r="43" spans="2:32" x14ac:dyDescent="0.3">
      <c r="B43" s="2">
        <f t="shared" si="23"/>
        <v>2036</v>
      </c>
      <c r="C43" s="3">
        <f t="shared" si="24"/>
        <v>282.63137018730788</v>
      </c>
      <c r="D43" s="3">
        <f t="shared" si="20"/>
        <v>282.63137018730788</v>
      </c>
      <c r="E43" s="3">
        <f t="shared" si="25"/>
        <v>1.6537961447246434</v>
      </c>
      <c r="F43" s="3">
        <f t="shared" si="26"/>
        <v>466.47057509771071</v>
      </c>
      <c r="G43" s="3">
        <f>+'[16]Colector Baquedano'!$AB$36</f>
        <v>136.53229328352177</v>
      </c>
      <c r="H43" s="3">
        <f t="shared" si="21"/>
        <v>146.09907690378611</v>
      </c>
      <c r="U43" s="56">
        <f t="shared" si="27"/>
        <v>2036</v>
      </c>
      <c r="V43" s="9">
        <f>+'[16]Colector Baquedano'!$V$36</f>
        <v>3213.4841132370357</v>
      </c>
      <c r="W43" s="34">
        <f>+'[16]Colector Baquedano'!$U$36</f>
        <v>7.7496180042865088</v>
      </c>
      <c r="X43" s="44">
        <f t="shared" si="22"/>
        <v>3.4168686337024541</v>
      </c>
      <c r="Y43" s="34">
        <f t="shared" si="28"/>
        <v>26.479426682022382</v>
      </c>
      <c r="Z43" s="34">
        <f t="shared" si="29"/>
        <v>1.5499236008573019</v>
      </c>
      <c r="AA43" s="34">
        <f t="shared" si="30"/>
        <v>28.029350282879683</v>
      </c>
      <c r="AB43" s="34">
        <f t="shared" si="31"/>
        <v>108.50294300064209</v>
      </c>
      <c r="AC43" s="57">
        <f t="shared" si="32"/>
        <v>136.53229328352177</v>
      </c>
      <c r="AE43" s="46">
        <f t="shared" si="33"/>
        <v>136.53229328352177</v>
      </c>
      <c r="AF43" s="46">
        <f t="shared" si="34"/>
        <v>0</v>
      </c>
    </row>
    <row r="44" spans="2:32" ht="13.8" thickBot="1" x14ac:dyDescent="0.35">
      <c r="B44" s="2">
        <f t="shared" si="23"/>
        <v>2037</v>
      </c>
      <c r="C44" s="3">
        <f t="shared" si="24"/>
        <v>282.63137018730788</v>
      </c>
      <c r="D44" s="3">
        <f t="shared" si="20"/>
        <v>282.63137018730788</v>
      </c>
      <c r="E44" s="3">
        <f t="shared" si="25"/>
        <v>1.6537961447246434</v>
      </c>
      <c r="F44" s="3">
        <f t="shared" si="26"/>
        <v>466.47057509771071</v>
      </c>
      <c r="G44" s="3">
        <f>+'[17]Colector Baquedano'!$AB$36</f>
        <v>138.7091530240904</v>
      </c>
      <c r="H44" s="3">
        <f t="shared" si="21"/>
        <v>143.92221716321748</v>
      </c>
      <c r="U44" s="58">
        <f t="shared" si="27"/>
        <v>2037</v>
      </c>
      <c r="V44" s="59">
        <f>+'[17]Colector Baquedano'!$V$36</f>
        <v>3238.4700312565888</v>
      </c>
      <c r="W44" s="60">
        <f>+'[17]Colector Baquedano'!$U$36</f>
        <v>7.9024156474749061</v>
      </c>
      <c r="X44" s="61">
        <f t="shared" si="22"/>
        <v>3.4139700064543055</v>
      </c>
      <c r="Y44" s="60">
        <f>+X44*W44</f>
        <v>26.978609999014509</v>
      </c>
      <c r="Z44" s="60">
        <f t="shared" si="29"/>
        <v>1.5804831294949813</v>
      </c>
      <c r="AA44" s="60">
        <f t="shared" si="30"/>
        <v>28.559093128509492</v>
      </c>
      <c r="AB44" s="60">
        <f t="shared" si="31"/>
        <v>110.15005989558091</v>
      </c>
      <c r="AC44" s="62">
        <f t="shared" si="32"/>
        <v>138.7091530240904</v>
      </c>
      <c r="AE44" s="46">
        <f t="shared" si="33"/>
        <v>138.7091530240904</v>
      </c>
      <c r="AF44" s="46">
        <f t="shared" si="34"/>
        <v>0</v>
      </c>
    </row>
  </sheetData>
  <mergeCells count="14">
    <mergeCell ref="R4:R5"/>
    <mergeCell ref="B27:B28"/>
    <mergeCell ref="C27:C28"/>
    <mergeCell ref="D27:F27"/>
    <mergeCell ref="G27:G28"/>
    <mergeCell ref="H27:H28"/>
    <mergeCell ref="L4:L5"/>
    <mergeCell ref="M4:M5"/>
    <mergeCell ref="N4:Q4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47</v>
      </c>
      <c r="E2" s="6" t="s">
        <v>7</v>
      </c>
      <c r="F2" s="7">
        <f>+'[17]Colector Montt Baquedano'!$N$33</f>
        <v>147.1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184</v>
      </c>
      <c r="P3" s="12" t="s">
        <v>185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Montt Baqued'!B6</f>
        <v>2022</v>
      </c>
      <c r="C6" s="3">
        <f>+SUMPRODUCT('[17]Colector Montt Baquedano'!$AL$31:$AL$33,'[17]Colector Montt Baquedano'!$M$31:$M$33)/F2</f>
        <v>107.68600308833344</v>
      </c>
      <c r="D6" s="3">
        <f t="shared" ref="D6:D21" si="0">+C6</f>
        <v>107.68600308833344</v>
      </c>
      <c r="E6" s="3">
        <f>D6/(0.25*PI()*(F6/1000)^2)/1000</f>
        <v>1.6993028594393573</v>
      </c>
      <c r="F6" s="3">
        <f>+SUMPRODUCT('[17]Colector Montt Baquedano'!$F$31:$F$33,'[17]Colector Montt Baquedano'!$M$31:$M$33)/F2</f>
        <v>284.05294357579879</v>
      </c>
      <c r="G6" s="3">
        <f>+'[2]Colector Montt Baquedano'!$AB$33</f>
        <v>15.10677236176813</v>
      </c>
      <c r="H6" s="3">
        <f t="shared" ref="H6:H21" si="1">+D6-G6</f>
        <v>92.579230726565299</v>
      </c>
      <c r="K6" s="43">
        <f>+B6</f>
        <v>2022</v>
      </c>
      <c r="L6" s="9"/>
    </row>
    <row r="7" spans="1:22" x14ac:dyDescent="0.3">
      <c r="B7" s="2">
        <f t="shared" ref="B7:B21" si="2">+B6+1</f>
        <v>2023</v>
      </c>
      <c r="C7" s="3">
        <f t="shared" ref="C7:C21" si="3">+C6</f>
        <v>107.68600308833344</v>
      </c>
      <c r="D7" s="3">
        <f t="shared" si="0"/>
        <v>107.68600308833344</v>
      </c>
      <c r="E7" s="3">
        <f t="shared" ref="E7:F21" si="4">+E6</f>
        <v>1.6993028594393573</v>
      </c>
      <c r="F7" s="3">
        <f t="shared" si="4"/>
        <v>284.05294357579879</v>
      </c>
      <c r="G7" s="3">
        <f>+'[3]Colector Montt Baquedano'!$AB$33</f>
        <v>15.5742924775733</v>
      </c>
      <c r="H7" s="3">
        <f t="shared" si="1"/>
        <v>92.111710610760142</v>
      </c>
      <c r="K7" s="43">
        <f t="shared" ref="K7:K21" si="5">+B7</f>
        <v>2023</v>
      </c>
      <c r="L7" s="9"/>
    </row>
    <row r="8" spans="1:22" x14ac:dyDescent="0.3">
      <c r="B8" s="2">
        <f t="shared" si="2"/>
        <v>2024</v>
      </c>
      <c r="C8" s="3">
        <f t="shared" si="3"/>
        <v>107.68600308833344</v>
      </c>
      <c r="D8" s="3">
        <f t="shared" si="0"/>
        <v>107.68600308833344</v>
      </c>
      <c r="E8" s="3">
        <f t="shared" si="4"/>
        <v>1.6993028594393573</v>
      </c>
      <c r="F8" s="3">
        <f t="shared" si="4"/>
        <v>284.05294357579879</v>
      </c>
      <c r="G8" s="3">
        <f>+'[4]Colector Montt Baquedano'!$AB$33</f>
        <v>15.925139998332238</v>
      </c>
      <c r="H8" s="3">
        <f t="shared" si="1"/>
        <v>91.760863090001195</v>
      </c>
      <c r="K8" s="43">
        <f t="shared" si="5"/>
        <v>2024</v>
      </c>
      <c r="L8" s="9"/>
    </row>
    <row r="9" spans="1:22" x14ac:dyDescent="0.3">
      <c r="B9" s="2">
        <f t="shared" si="2"/>
        <v>2025</v>
      </c>
      <c r="C9" s="3">
        <f t="shared" si="3"/>
        <v>107.68600308833344</v>
      </c>
      <c r="D9" s="3">
        <f t="shared" si="0"/>
        <v>107.68600308833344</v>
      </c>
      <c r="E9" s="3">
        <f t="shared" si="4"/>
        <v>1.6993028594393573</v>
      </c>
      <c r="F9" s="3">
        <f t="shared" si="4"/>
        <v>284.05294357579879</v>
      </c>
      <c r="G9" s="3">
        <f>+'[5]Colector Montt Baquedano'!$AB$33</f>
        <v>16.277200366580914</v>
      </c>
      <c r="H9" s="3">
        <f t="shared" si="1"/>
        <v>91.408802721752522</v>
      </c>
      <c r="K9" s="43">
        <f t="shared" si="5"/>
        <v>2025</v>
      </c>
      <c r="L9" s="9"/>
    </row>
    <row r="10" spans="1:22" x14ac:dyDescent="0.3">
      <c r="B10" s="2">
        <f t="shared" si="2"/>
        <v>2026</v>
      </c>
      <c r="C10" s="3">
        <f t="shared" si="3"/>
        <v>107.68600308833344</v>
      </c>
      <c r="D10" s="3">
        <f t="shared" si="0"/>
        <v>107.68600308833344</v>
      </c>
      <c r="E10" s="3">
        <f t="shared" si="4"/>
        <v>1.6993028594393573</v>
      </c>
      <c r="F10" s="3">
        <f t="shared" si="4"/>
        <v>284.05294357579879</v>
      </c>
      <c r="G10" s="3">
        <f>+'[6]Colector Montt Baquedano'!$AB$33</f>
        <v>16.633069157849903</v>
      </c>
      <c r="H10" s="3">
        <f t="shared" si="1"/>
        <v>91.052933930483533</v>
      </c>
      <c r="K10" s="43">
        <f t="shared" si="5"/>
        <v>2026</v>
      </c>
      <c r="L10" s="9"/>
    </row>
    <row r="11" spans="1:22" x14ac:dyDescent="0.3">
      <c r="B11" s="2">
        <f t="shared" si="2"/>
        <v>2027</v>
      </c>
      <c r="C11" s="3">
        <f t="shared" si="3"/>
        <v>107.68600308833344</v>
      </c>
      <c r="D11" s="3">
        <f t="shared" si="0"/>
        <v>107.68600308833344</v>
      </c>
      <c r="E11" s="3">
        <f t="shared" si="4"/>
        <v>1.6993028594393573</v>
      </c>
      <c r="F11" s="3">
        <f t="shared" si="4"/>
        <v>284.05294357579879</v>
      </c>
      <c r="G11" s="3">
        <f>+'[7]Colector Montt Baquedano'!$AB$33</f>
        <v>16.992091787330992</v>
      </c>
      <c r="H11" s="3">
        <f t="shared" si="1"/>
        <v>90.693911301002444</v>
      </c>
      <c r="K11" s="43">
        <f t="shared" si="5"/>
        <v>2027</v>
      </c>
      <c r="L11" s="9"/>
    </row>
    <row r="12" spans="1:22" x14ac:dyDescent="0.3">
      <c r="B12" s="2">
        <f t="shared" si="2"/>
        <v>2028</v>
      </c>
      <c r="C12" s="3">
        <f t="shared" si="3"/>
        <v>107.68600308833344</v>
      </c>
      <c r="D12" s="3">
        <f t="shared" si="0"/>
        <v>107.68600308833344</v>
      </c>
      <c r="E12" s="3">
        <f t="shared" si="4"/>
        <v>1.6993028594393573</v>
      </c>
      <c r="F12" s="3">
        <f t="shared" si="4"/>
        <v>284.05294357579879</v>
      </c>
      <c r="G12" s="3">
        <f>+'[8]Colector Montt Baquedano'!$AB$33</f>
        <v>17.355621882797415</v>
      </c>
      <c r="H12" s="3">
        <f t="shared" si="1"/>
        <v>90.330381205536014</v>
      </c>
      <c r="K12" s="43">
        <f t="shared" si="5"/>
        <v>2028</v>
      </c>
      <c r="L12" s="9"/>
    </row>
    <row r="13" spans="1:22" x14ac:dyDescent="0.3">
      <c r="B13" s="2">
        <f t="shared" si="2"/>
        <v>2029</v>
      </c>
      <c r="C13" s="3">
        <f t="shared" si="3"/>
        <v>107.68600308833344</v>
      </c>
      <c r="D13" s="3">
        <f t="shared" si="0"/>
        <v>107.68600308833344</v>
      </c>
      <c r="E13" s="3">
        <f t="shared" si="4"/>
        <v>1.6993028594393573</v>
      </c>
      <c r="F13" s="3">
        <f t="shared" si="4"/>
        <v>284.05294357579879</v>
      </c>
      <c r="G13" s="3">
        <f>+'[9]Colector Montt Baquedano'!$AB$33</f>
        <v>17.720239925501009</v>
      </c>
      <c r="H13" s="3">
        <f t="shared" si="1"/>
        <v>89.965763162832431</v>
      </c>
      <c r="K13" s="43">
        <f t="shared" si="5"/>
        <v>2029</v>
      </c>
      <c r="L13" s="9"/>
    </row>
    <row r="14" spans="1:22" x14ac:dyDescent="0.3">
      <c r="B14" s="2">
        <f t="shared" si="2"/>
        <v>2030</v>
      </c>
      <c r="C14" s="3">
        <f t="shared" si="3"/>
        <v>107.68600308833344</v>
      </c>
      <c r="D14" s="3">
        <f t="shared" si="0"/>
        <v>107.68600308833344</v>
      </c>
      <c r="E14" s="3">
        <f t="shared" si="4"/>
        <v>1.6993028594393573</v>
      </c>
      <c r="F14" s="3">
        <f t="shared" si="4"/>
        <v>284.05294357579879</v>
      </c>
      <c r="G14" s="3">
        <f>+'[10]Colector Montt Baquedano'!$AB$33</f>
        <v>18.088686203096913</v>
      </c>
      <c r="H14" s="3">
        <f t="shared" si="1"/>
        <v>89.597316885236523</v>
      </c>
      <c r="K14" s="43">
        <f t="shared" si="5"/>
        <v>2030</v>
      </c>
      <c r="L14" s="9"/>
    </row>
    <row r="15" spans="1:22" x14ac:dyDescent="0.3">
      <c r="B15" s="2">
        <f t="shared" si="2"/>
        <v>2031</v>
      </c>
      <c r="C15" s="3">
        <f t="shared" si="3"/>
        <v>107.68600308833344</v>
      </c>
      <c r="D15" s="3">
        <f t="shared" si="0"/>
        <v>107.68600308833344</v>
      </c>
      <c r="E15" s="3">
        <f t="shared" si="4"/>
        <v>1.6993028594393573</v>
      </c>
      <c r="F15" s="3">
        <f t="shared" si="4"/>
        <v>284.05294357579879</v>
      </c>
      <c r="G15" s="3">
        <f>+'[11]Colector Montt Baquedano'!$AB$33</f>
        <v>18.460254667632096</v>
      </c>
      <c r="H15" s="3">
        <f t="shared" si="1"/>
        <v>89.225748420701336</v>
      </c>
      <c r="K15" s="43">
        <f t="shared" si="5"/>
        <v>2031</v>
      </c>
      <c r="L15" s="9"/>
    </row>
    <row r="16" spans="1:22" x14ac:dyDescent="0.3">
      <c r="B16" s="2">
        <f t="shared" si="2"/>
        <v>2032</v>
      </c>
      <c r="C16" s="3">
        <f t="shared" si="3"/>
        <v>107.68600308833344</v>
      </c>
      <c r="D16" s="3">
        <f t="shared" si="0"/>
        <v>107.68600308833344</v>
      </c>
      <c r="E16" s="3">
        <f t="shared" si="4"/>
        <v>1.6993028594393573</v>
      </c>
      <c r="F16" s="3">
        <f t="shared" si="4"/>
        <v>284.05294357579879</v>
      </c>
      <c r="G16" s="3">
        <f>+'[12]Colector Montt Baquedano'!$AB$33</f>
        <v>18.836368001833961</v>
      </c>
      <c r="H16" s="3">
        <f t="shared" si="1"/>
        <v>88.849635086499475</v>
      </c>
      <c r="K16" s="43">
        <f t="shared" si="5"/>
        <v>2032</v>
      </c>
      <c r="L16" s="9"/>
    </row>
    <row r="17" spans="2:13" x14ac:dyDescent="0.3">
      <c r="B17" s="2">
        <f t="shared" si="2"/>
        <v>2033</v>
      </c>
      <c r="C17" s="3">
        <f t="shared" si="3"/>
        <v>107.68600308833344</v>
      </c>
      <c r="D17" s="3">
        <f t="shared" si="0"/>
        <v>107.68600308833344</v>
      </c>
      <c r="E17" s="3">
        <f t="shared" si="4"/>
        <v>1.6993028594393573</v>
      </c>
      <c r="F17" s="3">
        <f t="shared" si="4"/>
        <v>284.05294357579879</v>
      </c>
      <c r="G17" s="3">
        <f>+'[13]Colector Montt Baquedano'!$AB$33</f>
        <v>19.213415402844944</v>
      </c>
      <c r="H17" s="3">
        <f t="shared" si="1"/>
        <v>88.472587685488492</v>
      </c>
      <c r="K17" s="43">
        <f t="shared" si="5"/>
        <v>2033</v>
      </c>
      <c r="L17" s="9"/>
    </row>
    <row r="18" spans="2:13" x14ac:dyDescent="0.3">
      <c r="B18" s="2">
        <f t="shared" si="2"/>
        <v>2034</v>
      </c>
      <c r="C18" s="3">
        <f t="shared" si="3"/>
        <v>107.68600308833344</v>
      </c>
      <c r="D18" s="3">
        <f t="shared" si="0"/>
        <v>107.68600308833344</v>
      </c>
      <c r="E18" s="3">
        <f t="shared" si="4"/>
        <v>1.6993028594393573</v>
      </c>
      <c r="F18" s="3">
        <f t="shared" si="4"/>
        <v>284.05294357579879</v>
      </c>
      <c r="G18" s="3">
        <f>+'[14]Colector Montt Baquedano'!$AB$33</f>
        <v>19.594329688475916</v>
      </c>
      <c r="H18" s="3">
        <f t="shared" si="1"/>
        <v>88.091673399857513</v>
      </c>
      <c r="K18" s="43">
        <f t="shared" si="5"/>
        <v>2034</v>
      </c>
      <c r="L18" s="9"/>
    </row>
    <row r="19" spans="2:13" x14ac:dyDescent="0.3">
      <c r="B19" s="2">
        <f t="shared" si="2"/>
        <v>2035</v>
      </c>
      <c r="C19" s="3">
        <f t="shared" si="3"/>
        <v>107.68600308833344</v>
      </c>
      <c r="D19" s="3">
        <f t="shared" si="0"/>
        <v>107.68600308833344</v>
      </c>
      <c r="E19" s="3">
        <f t="shared" si="4"/>
        <v>1.6993028594393573</v>
      </c>
      <c r="F19" s="3">
        <f t="shared" si="4"/>
        <v>284.05294357579879</v>
      </c>
      <c r="G19" s="3">
        <f>+'[15]Colector Montt Baquedano'!$AB$33</f>
        <v>19.978322937667137</v>
      </c>
      <c r="H19" s="3">
        <f t="shared" si="1"/>
        <v>87.707680150666306</v>
      </c>
      <c r="K19" s="43">
        <f t="shared" si="5"/>
        <v>2035</v>
      </c>
      <c r="L19" s="9"/>
    </row>
    <row r="20" spans="2:13" x14ac:dyDescent="0.3">
      <c r="B20" s="2">
        <f t="shared" si="2"/>
        <v>2036</v>
      </c>
      <c r="C20" s="3">
        <f t="shared" si="3"/>
        <v>107.68600308833344</v>
      </c>
      <c r="D20" s="3">
        <f t="shared" si="0"/>
        <v>107.68600308833344</v>
      </c>
      <c r="E20" s="3">
        <f t="shared" si="4"/>
        <v>1.6993028594393573</v>
      </c>
      <c r="F20" s="3">
        <f t="shared" si="4"/>
        <v>284.05294357579879</v>
      </c>
      <c r="G20" s="3">
        <f>+'[16]Colector Montt Baquedano'!$AB$33</f>
        <v>20.366907822637984</v>
      </c>
      <c r="H20" s="3">
        <f t="shared" si="1"/>
        <v>87.319095265695452</v>
      </c>
      <c r="K20" s="43">
        <f t="shared" si="5"/>
        <v>2036</v>
      </c>
      <c r="L20" s="9"/>
    </row>
    <row r="21" spans="2:13" x14ac:dyDescent="0.3">
      <c r="B21" s="2">
        <f t="shared" si="2"/>
        <v>2037</v>
      </c>
      <c r="C21" s="3">
        <f t="shared" si="3"/>
        <v>107.68600308833344</v>
      </c>
      <c r="D21" s="3">
        <f t="shared" si="0"/>
        <v>107.68600308833344</v>
      </c>
      <c r="E21" s="3">
        <f t="shared" si="4"/>
        <v>1.6993028594393573</v>
      </c>
      <c r="F21" s="3">
        <f t="shared" si="4"/>
        <v>284.05294357579879</v>
      </c>
      <c r="G21" s="3">
        <f>+'[17]Colector Montt Baquedano'!$AB$33</f>
        <v>20.756300801544619</v>
      </c>
      <c r="H21" s="3">
        <f t="shared" si="1"/>
        <v>86.929702286788824</v>
      </c>
      <c r="I21" s="13">
        <f>+G21/G6-1</f>
        <v>0.37397322899193108</v>
      </c>
      <c r="K21" s="43">
        <f t="shared" si="5"/>
        <v>2037</v>
      </c>
      <c r="L21" s="9"/>
      <c r="M21" s="8"/>
    </row>
    <row r="22" spans="2:13" x14ac:dyDescent="0.3">
      <c r="K22" s="43"/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1:AE46"/>
  <sheetViews>
    <sheetView showGridLines="0" topLeftCell="F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31" ht="13.8" thickBot="1" x14ac:dyDescent="0.35"/>
    <row r="2" spans="1:31" x14ac:dyDescent="0.3">
      <c r="B2" s="5" t="s">
        <v>46</v>
      </c>
      <c r="E2" s="6" t="s">
        <v>7</v>
      </c>
      <c r="F2" s="7">
        <f>+'[17]Colector Montt Baquedano'!$N$18</f>
        <v>29.83</v>
      </c>
      <c r="G2" s="8" t="s">
        <v>8</v>
      </c>
      <c r="I2" s="16" t="s">
        <v>65</v>
      </c>
      <c r="J2" s="17">
        <v>623</v>
      </c>
      <c r="K2" s="15" t="s">
        <v>66</v>
      </c>
      <c r="T2" s="47"/>
      <c r="U2" s="48" t="s">
        <v>98</v>
      </c>
      <c r="V2" s="49"/>
      <c r="W2" s="49"/>
      <c r="X2" s="49"/>
      <c r="Y2" s="49"/>
      <c r="Z2" s="49"/>
      <c r="AA2" s="49"/>
      <c r="AB2" s="50"/>
    </row>
    <row r="3" spans="1:31" x14ac:dyDescent="0.3">
      <c r="B3" s="12" t="s">
        <v>71</v>
      </c>
      <c r="J3" s="9">
        <f>+F27+F2</f>
        <v>623.46</v>
      </c>
      <c r="T3" s="51"/>
      <c r="U3" s="42" t="s">
        <v>182</v>
      </c>
      <c r="Y3" s="12" t="s">
        <v>183</v>
      </c>
      <c r="AB3" s="52"/>
    </row>
    <row r="4" spans="1:3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T4" s="51"/>
      <c r="Y4" s="53">
        <v>0.2</v>
      </c>
      <c r="AA4" s="43" t="s">
        <v>94</v>
      </c>
      <c r="AB4" s="52"/>
    </row>
    <row r="5" spans="1:31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"/>
      <c r="T5" s="54" t="s">
        <v>0</v>
      </c>
      <c r="U5" s="45" t="s">
        <v>90</v>
      </c>
      <c r="V5" s="45" t="s">
        <v>99</v>
      </c>
      <c r="W5" s="45" t="s">
        <v>91</v>
      </c>
      <c r="X5" s="45" t="s">
        <v>92</v>
      </c>
      <c r="Y5" s="45" t="s">
        <v>93</v>
      </c>
      <c r="Z5" s="45" t="s">
        <v>100</v>
      </c>
      <c r="AA5" s="45"/>
      <c r="AB5" s="55" t="s">
        <v>101</v>
      </c>
      <c r="AC5" s="45"/>
      <c r="AD5" s="45" t="s">
        <v>92</v>
      </c>
      <c r="AE5" s="45" t="s">
        <v>97</v>
      </c>
    </row>
    <row r="6" spans="1:31" x14ac:dyDescent="0.3">
      <c r="A6" s="12" t="s">
        <v>6</v>
      </c>
      <c r="B6" s="2">
        <f>+'Colec P.A. Cerda IV'!B6</f>
        <v>2022</v>
      </c>
      <c r="C6" s="3">
        <f>+SUMPRODUCT('[17]Colector Montt Baquedano'!$AL$17:$AL$18,'[17]Colector Montt Baquedano'!$M$17:$M$18)/F2</f>
        <v>340.86981988859139</v>
      </c>
      <c r="D6" s="3">
        <f t="shared" ref="D6:D21" si="0">+C6</f>
        <v>340.86981988859139</v>
      </c>
      <c r="E6" s="3">
        <f>D6/(0.25*PI()*(F6/1000)^2)/1000</f>
        <v>2.7125558393056686</v>
      </c>
      <c r="F6" s="3">
        <f>+SUMPRODUCT('[17]Colector Montt Baquedano'!$F$17:$F$18,'[17]Colector Montt Baquedano'!$M$17:$M$18)/F2</f>
        <v>400</v>
      </c>
      <c r="G6" s="3">
        <f>+'[2]Colector Montt Baquedano'!$AB$18</f>
        <v>85.828882860085685</v>
      </c>
      <c r="H6" s="3">
        <f t="shared" ref="H6:H21" si="1">+D6-G6</f>
        <v>255.04093702850571</v>
      </c>
      <c r="L6" s="9"/>
      <c r="T6" s="56">
        <f>+B6</f>
        <v>2022</v>
      </c>
      <c r="U6" s="9">
        <f>+'[2]Colector Montt Baquedano'!$V$27</f>
        <v>2110.996837100186</v>
      </c>
      <c r="V6" s="34">
        <f>+'[2]Colector Montt Baquedano'!$U$27</f>
        <v>3.9084912611916161</v>
      </c>
      <c r="W6" s="44">
        <f t="shared" ref="W6:W21" si="2">1+(14/(4+(SQRT(U6/1000))))</f>
        <v>3.5674284703808183</v>
      </c>
      <c r="X6" s="34">
        <f>+W6*V6</f>
        <v>13.943263001409603</v>
      </c>
      <c r="Y6" s="34">
        <f>+V6*$Y$4</f>
        <v>0.78169825223832323</v>
      </c>
      <c r="Z6" s="34">
        <f>+Y6+X6</f>
        <v>14.724961253647926</v>
      </c>
      <c r="AA6" s="34">
        <f>+'[2]Colector Montt Baquedano'!$AA$27</f>
        <v>71.103921606437765</v>
      </c>
      <c r="AB6" s="69">
        <f>+Z6+AA6</f>
        <v>85.828882860085685</v>
      </c>
      <c r="AD6" s="46">
        <f>+G6</f>
        <v>85.828882860085685</v>
      </c>
      <c r="AE6" s="46">
        <f>+AB6-AD6</f>
        <v>0</v>
      </c>
    </row>
    <row r="7" spans="1:31" x14ac:dyDescent="0.3">
      <c r="B7" s="2">
        <f t="shared" ref="B7:B21" si="3">+B6+1</f>
        <v>2023</v>
      </c>
      <c r="C7" s="3">
        <f t="shared" ref="C7:C21" si="4">+C6</f>
        <v>340.86981988859139</v>
      </c>
      <c r="D7" s="3">
        <f t="shared" si="0"/>
        <v>340.86981988859139</v>
      </c>
      <c r="E7" s="3">
        <f t="shared" ref="E7:F21" si="5">+E6</f>
        <v>2.7125558393056686</v>
      </c>
      <c r="F7" s="3">
        <f t="shared" si="5"/>
        <v>400</v>
      </c>
      <c r="G7" s="3">
        <f>+'[3]Colector Montt Baquedano'!$AB$18</f>
        <v>87.807126463982669</v>
      </c>
      <c r="H7" s="3">
        <f t="shared" si="1"/>
        <v>253.06269342460871</v>
      </c>
      <c r="L7" s="9"/>
      <c r="T7" s="56">
        <f t="shared" ref="T7:T20" si="6">+B7</f>
        <v>2023</v>
      </c>
      <c r="U7" s="9">
        <f>+'[3]Colector Montt Baquedano'!$V$27</f>
        <v>2128.0902983971637</v>
      </c>
      <c r="V7" s="34">
        <f>+'[3]Colector Montt Baquedano'!$U$27</f>
        <v>4.0318153959304519</v>
      </c>
      <c r="W7" s="44">
        <f t="shared" si="2"/>
        <v>3.5646673770263679</v>
      </c>
      <c r="X7" s="34">
        <f t="shared" ref="X7:X20" si="7">+W7*V7</f>
        <v>14.372080812065931</v>
      </c>
      <c r="Y7" s="34">
        <f t="shared" ref="Y7:Y21" si="8">+V7*$Y$4</f>
        <v>0.8063630791860904</v>
      </c>
      <c r="Z7" s="34">
        <f t="shared" ref="Z7:Z21" si="9">+Y7+X7</f>
        <v>15.178443891252021</v>
      </c>
      <c r="AA7" s="34">
        <f>+'[3]Colector Montt Baquedano'!$AA$27</f>
        <v>72.628682572730654</v>
      </c>
      <c r="AB7" s="69">
        <f t="shared" ref="AB7:AB21" si="10">+Z7+AA7</f>
        <v>87.807126463982669</v>
      </c>
      <c r="AD7" s="46">
        <f t="shared" ref="AD7:AD21" si="11">+G7</f>
        <v>87.807126463982669</v>
      </c>
      <c r="AE7" s="46">
        <f t="shared" ref="AE7:AE21" si="12">+AB7-AD7</f>
        <v>0</v>
      </c>
    </row>
    <row r="8" spans="1:31" x14ac:dyDescent="0.3">
      <c r="B8" s="2">
        <f t="shared" si="3"/>
        <v>2024</v>
      </c>
      <c r="C8" s="3">
        <f t="shared" si="4"/>
        <v>340.86981988859139</v>
      </c>
      <c r="D8" s="3">
        <f t="shared" si="0"/>
        <v>340.86981988859139</v>
      </c>
      <c r="E8" s="3">
        <f t="shared" si="5"/>
        <v>2.7125558393056686</v>
      </c>
      <c r="F8" s="3">
        <f t="shared" si="5"/>
        <v>400</v>
      </c>
      <c r="G8" s="3">
        <f>+'[4]Colector Montt Baquedano'!$AB$18</f>
        <v>89.283670940649756</v>
      </c>
      <c r="H8" s="3">
        <f t="shared" si="1"/>
        <v>251.58614894794164</v>
      </c>
      <c r="L8" s="9"/>
      <c r="T8" s="56">
        <f t="shared" si="6"/>
        <v>2024</v>
      </c>
      <c r="U8" s="9">
        <f>+'[4]Colector Montt Baquedano'!$V$27</f>
        <v>2145.2622420692419</v>
      </c>
      <c r="V8" s="34">
        <f>+'[4]Colector Montt Baquedano'!$U$27</f>
        <v>4.1250601579258452</v>
      </c>
      <c r="W8" s="44">
        <f t="shared" si="2"/>
        <v>3.5619106867781327</v>
      </c>
      <c r="X8" s="34">
        <f t="shared" si="7"/>
        <v>14.69309586011876</v>
      </c>
      <c r="Y8" s="34">
        <f t="shared" si="8"/>
        <v>0.82501203158516911</v>
      </c>
      <c r="Z8" s="34">
        <f t="shared" si="9"/>
        <v>15.518107891703929</v>
      </c>
      <c r="AA8" s="34">
        <f>+'[4]Colector Montt Baquedano'!$AA$27</f>
        <v>73.765563048945822</v>
      </c>
      <c r="AB8" s="69">
        <f t="shared" si="10"/>
        <v>89.283670940649756</v>
      </c>
      <c r="AD8" s="46">
        <f t="shared" si="11"/>
        <v>89.283670940649756</v>
      </c>
      <c r="AE8" s="46">
        <f t="shared" si="12"/>
        <v>0</v>
      </c>
    </row>
    <row r="9" spans="1:31" x14ac:dyDescent="0.3">
      <c r="B9" s="2">
        <f t="shared" si="3"/>
        <v>2025</v>
      </c>
      <c r="C9" s="3">
        <f t="shared" si="4"/>
        <v>340.86981988859139</v>
      </c>
      <c r="D9" s="3">
        <f t="shared" si="0"/>
        <v>340.86981988859139</v>
      </c>
      <c r="E9" s="3">
        <f t="shared" si="5"/>
        <v>2.7125558393056686</v>
      </c>
      <c r="F9" s="3">
        <f t="shared" si="5"/>
        <v>400</v>
      </c>
      <c r="G9" s="3">
        <f>+'[5]Colector Montt Baquedano'!$AB$18</f>
        <v>90.76486627139144</v>
      </c>
      <c r="H9" s="3">
        <f t="shared" si="1"/>
        <v>250.10495361719995</v>
      </c>
      <c r="L9" s="9"/>
      <c r="T9" s="56">
        <f t="shared" si="6"/>
        <v>2025</v>
      </c>
      <c r="U9" s="9">
        <f>+'[5]Colector Montt Baquedano'!$V$27</f>
        <v>2162.4969716414007</v>
      </c>
      <c r="V9" s="34">
        <f>+'[5]Colector Montt Baquedano'!$U$27</f>
        <v>4.2187236906968435</v>
      </c>
      <c r="W9" s="44">
        <f t="shared" si="2"/>
        <v>3.5591609053350441</v>
      </c>
      <c r="X9" s="34">
        <f t="shared" si="7"/>
        <v>15.015116430338976</v>
      </c>
      <c r="Y9" s="34">
        <f t="shared" si="8"/>
        <v>0.84374473813936879</v>
      </c>
      <c r="Z9" s="34">
        <f t="shared" si="9"/>
        <v>15.858861168478345</v>
      </c>
      <c r="AA9" s="34">
        <f>+'[5]Colector Montt Baquedano'!$AA$27</f>
        <v>74.906005102913099</v>
      </c>
      <c r="AB9" s="69">
        <f t="shared" si="10"/>
        <v>90.76486627139144</v>
      </c>
      <c r="AD9" s="46">
        <f t="shared" si="11"/>
        <v>90.76486627139144</v>
      </c>
      <c r="AE9" s="46">
        <f t="shared" si="12"/>
        <v>0</v>
      </c>
    </row>
    <row r="10" spans="1:31" x14ac:dyDescent="0.3">
      <c r="B10" s="2">
        <f t="shared" si="3"/>
        <v>2026</v>
      </c>
      <c r="C10" s="3">
        <f t="shared" si="4"/>
        <v>340.86981988859139</v>
      </c>
      <c r="D10" s="3">
        <f t="shared" si="0"/>
        <v>340.86981988859139</v>
      </c>
      <c r="E10" s="3">
        <f t="shared" si="5"/>
        <v>2.7125558393056686</v>
      </c>
      <c r="F10" s="3">
        <f t="shared" si="5"/>
        <v>400</v>
      </c>
      <c r="G10" s="3">
        <f>+'[6]Colector Montt Baquedano'!$AB$18</f>
        <v>92.261794328505189</v>
      </c>
      <c r="H10" s="3">
        <f t="shared" si="1"/>
        <v>248.60802556008622</v>
      </c>
      <c r="L10" s="9"/>
      <c r="T10" s="56">
        <f t="shared" si="6"/>
        <v>2026</v>
      </c>
      <c r="U10" s="9">
        <f>+'[6]Colector Montt Baquedano'!$V$27</f>
        <v>2179.8258800636809</v>
      </c>
      <c r="V10" s="34">
        <f>+'[6]Colector Montt Baquedano'!$U$27</f>
        <v>4.3134841014252432</v>
      </c>
      <c r="W10" s="44">
        <f t="shared" si="2"/>
        <v>3.5564130327057111</v>
      </c>
      <c r="X10" s="34">
        <f t="shared" si="7"/>
        <v>15.340531074677617</v>
      </c>
      <c r="Y10" s="34">
        <f t="shared" si="8"/>
        <v>0.86269682028504868</v>
      </c>
      <c r="Z10" s="34">
        <f t="shared" si="9"/>
        <v>16.203227894962666</v>
      </c>
      <c r="AA10" s="34">
        <f>+'[6]Colector Montt Baquedano'!$AA$27</f>
        <v>76.058566433542524</v>
      </c>
      <c r="AB10" s="69">
        <f t="shared" si="10"/>
        <v>92.261794328505189</v>
      </c>
      <c r="AD10" s="46">
        <f t="shared" si="11"/>
        <v>92.261794328505189</v>
      </c>
      <c r="AE10" s="46">
        <f t="shared" si="12"/>
        <v>0</v>
      </c>
    </row>
    <row r="11" spans="1:31" x14ac:dyDescent="0.3">
      <c r="B11" s="2">
        <f t="shared" si="3"/>
        <v>2027</v>
      </c>
      <c r="C11" s="3">
        <f t="shared" si="4"/>
        <v>340.86981988859139</v>
      </c>
      <c r="D11" s="3">
        <f t="shared" si="0"/>
        <v>340.86981988859139</v>
      </c>
      <c r="E11" s="3">
        <f t="shared" si="5"/>
        <v>2.7125558393056686</v>
      </c>
      <c r="F11" s="3">
        <f t="shared" si="5"/>
        <v>400</v>
      </c>
      <c r="G11" s="3">
        <f>+'[7]Colector Montt Baquedano'!$AB$18</f>
        <v>93.771664721712256</v>
      </c>
      <c r="H11" s="3">
        <f t="shared" si="1"/>
        <v>247.09815516687914</v>
      </c>
      <c r="L11" s="9"/>
      <c r="T11" s="56">
        <f t="shared" si="6"/>
        <v>2027</v>
      </c>
      <c r="U11" s="9">
        <f>+'[7]Colector Montt Baquedano'!$V$27</f>
        <v>2197.2332708610616</v>
      </c>
      <c r="V11" s="34">
        <f>+'[7]Colector Montt Baquedano'!$U$27</f>
        <v>4.4091710531070083</v>
      </c>
      <c r="W11" s="44">
        <f t="shared" si="2"/>
        <v>3.553669589182237</v>
      </c>
      <c r="X11" s="34">
        <f t="shared" si="7"/>
        <v>15.668737084928994</v>
      </c>
      <c r="Y11" s="34">
        <f t="shared" si="8"/>
        <v>0.88183421062140166</v>
      </c>
      <c r="Z11" s="34">
        <f t="shared" si="9"/>
        <v>16.550571295550395</v>
      </c>
      <c r="AA11" s="34">
        <f>+'[7]Colector Montt Baquedano'!$AA$27</f>
        <v>77.221093426161858</v>
      </c>
      <c r="AB11" s="69">
        <f t="shared" si="10"/>
        <v>93.771664721712256</v>
      </c>
      <c r="AD11" s="46">
        <f t="shared" si="11"/>
        <v>93.771664721712256</v>
      </c>
      <c r="AE11" s="46">
        <f t="shared" si="12"/>
        <v>0</v>
      </c>
    </row>
    <row r="12" spans="1:31" x14ac:dyDescent="0.3">
      <c r="B12" s="2">
        <f t="shared" si="3"/>
        <v>2028</v>
      </c>
      <c r="C12" s="3">
        <f t="shared" si="4"/>
        <v>340.86981988859139</v>
      </c>
      <c r="D12" s="3">
        <f t="shared" si="0"/>
        <v>340.86981988859139</v>
      </c>
      <c r="E12" s="3">
        <f t="shared" si="5"/>
        <v>2.7125558393056686</v>
      </c>
      <c r="F12" s="3">
        <f t="shared" si="5"/>
        <v>400</v>
      </c>
      <c r="G12" s="3">
        <f>+'[8]Colector Montt Baquedano'!$AB$18</f>
        <v>95.300249152577393</v>
      </c>
      <c r="H12" s="3">
        <f t="shared" si="1"/>
        <v>245.56957073601399</v>
      </c>
      <c r="L12" s="9"/>
      <c r="T12" s="56">
        <f t="shared" si="6"/>
        <v>2028</v>
      </c>
      <c r="U12" s="9">
        <f>+'[8]Colector Montt Baquedano'!$V$27</f>
        <v>2214.7348405085636</v>
      </c>
      <c r="V12" s="34">
        <f>+'[8]Colector Montt Baquedano'!$U$27</f>
        <v>4.5061397804164116</v>
      </c>
      <c r="W12" s="44">
        <f t="shared" si="2"/>
        <v>3.5509281313714292</v>
      </c>
      <c r="X12" s="34">
        <f t="shared" si="7"/>
        <v>16.000978510172512</v>
      </c>
      <c r="Y12" s="34">
        <f t="shared" si="8"/>
        <v>0.90122795608328232</v>
      </c>
      <c r="Z12" s="34">
        <f t="shared" si="9"/>
        <v>16.902206466255794</v>
      </c>
      <c r="AA12" s="34">
        <f>+'[8]Colector Montt Baquedano'!$AA$27</f>
        <v>78.398042686321602</v>
      </c>
      <c r="AB12" s="69">
        <f t="shared" si="10"/>
        <v>95.300249152577393</v>
      </c>
      <c r="AD12" s="46">
        <f t="shared" si="11"/>
        <v>95.300249152577393</v>
      </c>
      <c r="AE12" s="46">
        <f t="shared" si="12"/>
        <v>0</v>
      </c>
    </row>
    <row r="13" spans="1:31" x14ac:dyDescent="0.3">
      <c r="B13" s="2">
        <f t="shared" si="3"/>
        <v>2029</v>
      </c>
      <c r="C13" s="3">
        <f t="shared" si="4"/>
        <v>340.86981988859139</v>
      </c>
      <c r="D13" s="3">
        <f t="shared" si="0"/>
        <v>340.86981988859139</v>
      </c>
      <c r="E13" s="3">
        <f t="shared" si="5"/>
        <v>2.7125558393056686</v>
      </c>
      <c r="F13" s="3">
        <f t="shared" si="5"/>
        <v>400</v>
      </c>
      <c r="G13" s="3">
        <f>+'[9]Colector Montt Baquedano'!$AB$18</f>
        <v>96.832925763701212</v>
      </c>
      <c r="H13" s="3">
        <f t="shared" si="1"/>
        <v>244.03689412489018</v>
      </c>
      <c r="L13" s="9"/>
      <c r="T13" s="56">
        <f t="shared" si="6"/>
        <v>2029</v>
      </c>
      <c r="U13" s="9">
        <f>+'[9]Colector Montt Baquedano'!$V$27</f>
        <v>2232.2991960561462</v>
      </c>
      <c r="V13" s="34">
        <f>+'[9]Colector Montt Baquedano'!$U$27</f>
        <v>4.6034992909054147</v>
      </c>
      <c r="W13" s="44">
        <f t="shared" si="2"/>
        <v>3.5481935840235277</v>
      </c>
      <c r="X13" s="34">
        <f t="shared" si="7"/>
        <v>16.334106648047452</v>
      </c>
      <c r="Y13" s="34">
        <f t="shared" si="8"/>
        <v>0.92069985818108302</v>
      </c>
      <c r="Z13" s="34">
        <f t="shared" si="9"/>
        <v>17.254806506228537</v>
      </c>
      <c r="AA13" s="34">
        <f>+'[9]Colector Montt Baquedano'!$AA$27</f>
        <v>79.578119257472679</v>
      </c>
      <c r="AB13" s="69">
        <f t="shared" si="10"/>
        <v>96.832925763701212</v>
      </c>
      <c r="AD13" s="46">
        <f t="shared" si="11"/>
        <v>96.832925763701212</v>
      </c>
      <c r="AE13" s="46">
        <f t="shared" si="12"/>
        <v>0</v>
      </c>
    </row>
    <row r="14" spans="1:31" x14ac:dyDescent="0.3">
      <c r="B14" s="2">
        <f t="shared" si="3"/>
        <v>2030</v>
      </c>
      <c r="C14" s="3">
        <f t="shared" si="4"/>
        <v>340.86981988859139</v>
      </c>
      <c r="D14" s="3">
        <f t="shared" si="0"/>
        <v>340.86981988859139</v>
      </c>
      <c r="E14" s="3">
        <f t="shared" si="5"/>
        <v>2.7125558393056686</v>
      </c>
      <c r="F14" s="3">
        <f t="shared" si="5"/>
        <v>400</v>
      </c>
      <c r="G14" s="3">
        <f>+'[10]Colector Montt Baquedano'!$AB$18</f>
        <v>98.381387596703348</v>
      </c>
      <c r="H14" s="3">
        <f t="shared" si="1"/>
        <v>242.48843229188805</v>
      </c>
      <c r="L14" s="9"/>
      <c r="T14" s="56">
        <f t="shared" si="6"/>
        <v>2030</v>
      </c>
      <c r="U14" s="9">
        <f>+'[10]Colector Montt Baquedano'!$V$27</f>
        <v>2249.9577304538502</v>
      </c>
      <c r="V14" s="34">
        <f>+'[10]Colector Montt Baquedano'!$U$27</f>
        <v>4.7019671346814578</v>
      </c>
      <c r="W14" s="44">
        <f t="shared" si="2"/>
        <v>3.5454610664235973</v>
      </c>
      <c r="X14" s="34">
        <f t="shared" si="7"/>
        <v>16.670641411616426</v>
      </c>
      <c r="Y14" s="34">
        <f t="shared" si="8"/>
        <v>0.94039342693629158</v>
      </c>
      <c r="Z14" s="34">
        <f t="shared" si="9"/>
        <v>17.611034838552719</v>
      </c>
      <c r="AA14" s="34">
        <f>+'[10]Colector Montt Baquedano'!$AA$27</f>
        <v>80.770352758150636</v>
      </c>
      <c r="AB14" s="69">
        <f t="shared" si="10"/>
        <v>98.381387596703348</v>
      </c>
      <c r="AD14" s="46">
        <f t="shared" si="11"/>
        <v>98.381387596703348</v>
      </c>
      <c r="AE14" s="46">
        <f t="shared" si="12"/>
        <v>0</v>
      </c>
    </row>
    <row r="15" spans="1:31" x14ac:dyDescent="0.3">
      <c r="B15" s="2">
        <f t="shared" si="3"/>
        <v>2031</v>
      </c>
      <c r="C15" s="3">
        <f t="shared" si="4"/>
        <v>340.86981988859139</v>
      </c>
      <c r="D15" s="3">
        <f t="shared" si="0"/>
        <v>340.86981988859139</v>
      </c>
      <c r="E15" s="3">
        <f t="shared" si="5"/>
        <v>2.7125558393056686</v>
      </c>
      <c r="F15" s="3">
        <f t="shared" si="5"/>
        <v>400</v>
      </c>
      <c r="G15" s="3">
        <f>+'[11]Colector Montt Baquedano'!$AB$18</f>
        <v>99.942598065348037</v>
      </c>
      <c r="H15" s="3">
        <f t="shared" si="1"/>
        <v>240.92722182324337</v>
      </c>
      <c r="L15" s="9"/>
      <c r="T15" s="56">
        <f t="shared" si="6"/>
        <v>2031</v>
      </c>
      <c r="U15" s="9">
        <f>+'[11]Colector Montt Baquedano'!$V$27</f>
        <v>2267.7104437016751</v>
      </c>
      <c r="V15" s="34">
        <f>+'[11]Colector Montt Baquedano'!$U$27</f>
        <v>4.8013615194108654</v>
      </c>
      <c r="W15" s="44">
        <f t="shared" si="2"/>
        <v>3.5427306292253986</v>
      </c>
      <c r="X15" s="34">
        <f t="shared" si="7"/>
        <v>17.00993051680107</v>
      </c>
      <c r="Y15" s="34">
        <f t="shared" si="8"/>
        <v>0.96027230388217311</v>
      </c>
      <c r="Z15" s="34">
        <f t="shared" si="9"/>
        <v>17.970202820683244</v>
      </c>
      <c r="AA15" s="34">
        <f>+'[11]Colector Montt Baquedano'!$AA$27</f>
        <v>81.972395244664796</v>
      </c>
      <c r="AB15" s="69">
        <f t="shared" si="10"/>
        <v>99.942598065348037</v>
      </c>
      <c r="AD15" s="46">
        <f t="shared" si="11"/>
        <v>99.942598065348037</v>
      </c>
      <c r="AE15" s="46">
        <f t="shared" si="12"/>
        <v>0</v>
      </c>
    </row>
    <row r="16" spans="1:31" x14ac:dyDescent="0.3">
      <c r="B16" s="2">
        <f t="shared" si="3"/>
        <v>2032</v>
      </c>
      <c r="C16" s="3">
        <f t="shared" si="4"/>
        <v>340.86981988859139</v>
      </c>
      <c r="D16" s="3">
        <f t="shared" si="0"/>
        <v>340.86981988859139</v>
      </c>
      <c r="E16" s="3">
        <f t="shared" si="5"/>
        <v>2.7125558393056686</v>
      </c>
      <c r="F16" s="3">
        <f t="shared" si="5"/>
        <v>400</v>
      </c>
      <c r="G16" s="3">
        <f>+'[12]Colector Montt Baquedano'!$AB$18</f>
        <v>101.52264808533893</v>
      </c>
      <c r="H16" s="3">
        <f t="shared" si="1"/>
        <v>239.34717180325248</v>
      </c>
      <c r="L16" s="9"/>
      <c r="T16" s="56">
        <f t="shared" si="6"/>
        <v>2032</v>
      </c>
      <c r="U16" s="9">
        <f>+'[12]Colector Montt Baquedano'!$V$27</f>
        <v>2285.5573357996209</v>
      </c>
      <c r="V16" s="34">
        <f>+'[12]Colector Montt Baquedano'!$U$27</f>
        <v>4.9020542120342778</v>
      </c>
      <c r="W16" s="44">
        <f t="shared" si="2"/>
        <v>3.540002322016615</v>
      </c>
      <c r="X16" s="34">
        <f t="shared" si="7"/>
        <v>17.353283293252673</v>
      </c>
      <c r="Y16" s="34">
        <f t="shared" si="8"/>
        <v>0.98041084240685561</v>
      </c>
      <c r="Z16" s="34">
        <f t="shared" si="9"/>
        <v>18.333694135659528</v>
      </c>
      <c r="AA16" s="34">
        <f>+'[12]Colector Montt Baquedano'!$AA$27</f>
        <v>83.188953949679401</v>
      </c>
      <c r="AB16" s="69">
        <f t="shared" si="10"/>
        <v>101.52264808533893</v>
      </c>
      <c r="AD16" s="46">
        <f t="shared" si="11"/>
        <v>101.52264808533893</v>
      </c>
      <c r="AE16" s="46">
        <f t="shared" si="12"/>
        <v>0</v>
      </c>
    </row>
    <row r="17" spans="1:31" x14ac:dyDescent="0.3">
      <c r="B17" s="2">
        <f t="shared" si="3"/>
        <v>2033</v>
      </c>
      <c r="C17" s="3">
        <f t="shared" si="4"/>
        <v>340.86981988859139</v>
      </c>
      <c r="D17" s="3">
        <f t="shared" si="0"/>
        <v>340.86981988859139</v>
      </c>
      <c r="E17" s="3">
        <f t="shared" si="5"/>
        <v>2.7125558393056686</v>
      </c>
      <c r="F17" s="3">
        <f t="shared" si="5"/>
        <v>400</v>
      </c>
      <c r="G17" s="3">
        <f>+'[13]Colector Montt Baquedano'!$AB$18</f>
        <v>103.10602267557954</v>
      </c>
      <c r="H17" s="3">
        <f t="shared" si="1"/>
        <v>237.76379721301186</v>
      </c>
      <c r="L17" s="9"/>
      <c r="T17" s="56">
        <f t="shared" si="6"/>
        <v>2033</v>
      </c>
      <c r="U17" s="9">
        <f>+'[13]Colector Montt Baquedano'!$V$27</f>
        <v>2303.5141032227084</v>
      </c>
      <c r="V17" s="34">
        <f>+'[13]Colector Montt Baquedano'!$U$27</f>
        <v>5.0031097002412848</v>
      </c>
      <c r="W17" s="44">
        <f t="shared" si="2"/>
        <v>3.5372738154874783</v>
      </c>
      <c r="X17" s="34">
        <f t="shared" si="7"/>
        <v>17.697368938674902</v>
      </c>
      <c r="Y17" s="34">
        <f t="shared" si="8"/>
        <v>1.000621940048257</v>
      </c>
      <c r="Z17" s="34">
        <f t="shared" si="9"/>
        <v>18.697990878723161</v>
      </c>
      <c r="AA17" s="34">
        <f>+'[13]Colector Montt Baquedano'!$AA$27</f>
        <v>84.408031796856378</v>
      </c>
      <c r="AB17" s="69">
        <f t="shared" si="10"/>
        <v>103.10602267557954</v>
      </c>
      <c r="AD17" s="46">
        <f t="shared" si="11"/>
        <v>103.10602267557954</v>
      </c>
      <c r="AE17" s="46">
        <f t="shared" si="12"/>
        <v>0</v>
      </c>
    </row>
    <row r="18" spans="1:31" x14ac:dyDescent="0.3">
      <c r="B18" s="2">
        <f t="shared" si="3"/>
        <v>2034</v>
      </c>
      <c r="C18" s="3">
        <f t="shared" si="4"/>
        <v>340.86981988859139</v>
      </c>
      <c r="D18" s="3">
        <f t="shared" si="0"/>
        <v>340.86981988859139</v>
      </c>
      <c r="E18" s="3">
        <f t="shared" si="5"/>
        <v>2.7125558393056686</v>
      </c>
      <c r="F18" s="3">
        <f t="shared" si="5"/>
        <v>400</v>
      </c>
      <c r="G18" s="3">
        <f>+'[14]Colector Montt Baquedano'!$AB$18</f>
        <v>104.70537284178198</v>
      </c>
      <c r="H18" s="3">
        <f t="shared" si="1"/>
        <v>236.16444704680941</v>
      </c>
      <c r="L18" s="9"/>
      <c r="T18" s="56">
        <f t="shared" si="6"/>
        <v>2034</v>
      </c>
      <c r="U18" s="9">
        <f>+'[14]Colector Montt Baquedano'!$V$27</f>
        <v>2321.5336565458765</v>
      </c>
      <c r="V18" s="34">
        <f>+'[14]Colector Montt Baquedano'!$U$27</f>
        <v>5.1052849770649695</v>
      </c>
      <c r="W18" s="44">
        <f t="shared" si="2"/>
        <v>3.534552290700113</v>
      </c>
      <c r="X18" s="34">
        <f t="shared" si="7"/>
        <v>18.044896710361861</v>
      </c>
      <c r="Y18" s="34">
        <f t="shared" si="8"/>
        <v>1.021056995412994</v>
      </c>
      <c r="Z18" s="34">
        <f t="shared" si="9"/>
        <v>19.065953705774856</v>
      </c>
      <c r="AA18" s="34">
        <f>+'[14]Colector Montt Baquedano'!$AA$27</f>
        <v>85.63941913600712</v>
      </c>
      <c r="AB18" s="69">
        <f t="shared" si="10"/>
        <v>104.70537284178198</v>
      </c>
      <c r="AD18" s="46">
        <f t="shared" si="11"/>
        <v>104.70537284178198</v>
      </c>
      <c r="AE18" s="46">
        <f t="shared" si="12"/>
        <v>0</v>
      </c>
    </row>
    <row r="19" spans="1:31" x14ac:dyDescent="0.3">
      <c r="B19" s="2">
        <f t="shared" si="3"/>
        <v>2035</v>
      </c>
      <c r="C19" s="3">
        <f t="shared" si="4"/>
        <v>340.86981988859139</v>
      </c>
      <c r="D19" s="3">
        <f t="shared" si="0"/>
        <v>340.86981988859139</v>
      </c>
      <c r="E19" s="3">
        <f t="shared" si="5"/>
        <v>2.7125558393056686</v>
      </c>
      <c r="F19" s="3">
        <f t="shared" si="5"/>
        <v>400</v>
      </c>
      <c r="G19" s="3">
        <f>+'[15]Colector Montt Baquedano'!$AB$18</f>
        <v>106.31719867362605</v>
      </c>
      <c r="H19" s="3">
        <f t="shared" si="1"/>
        <v>234.55262121496534</v>
      </c>
      <c r="L19" s="9"/>
      <c r="T19" s="56">
        <f>+B19</f>
        <v>2035</v>
      </c>
      <c r="U19" s="9">
        <f>+'[15]Colector Montt Baquedano'!$V$27</f>
        <v>2339.6787816692058</v>
      </c>
      <c r="V19" s="34">
        <f>+'[15]Colector Montt Baquedano'!$U$27</f>
        <v>5.2083867948420188</v>
      </c>
      <c r="W19" s="44">
        <f t="shared" si="2"/>
        <v>3.5318283113204751</v>
      </c>
      <c r="X19" s="34">
        <f t="shared" si="7"/>
        <v>18.395127938330749</v>
      </c>
      <c r="Y19" s="34">
        <f t="shared" si="8"/>
        <v>1.0416773589684039</v>
      </c>
      <c r="Z19" s="34">
        <f t="shared" si="9"/>
        <v>19.436805297299152</v>
      </c>
      <c r="AA19" s="34">
        <f>+'[15]Colector Montt Baquedano'!$AA$27</f>
        <v>86.880393376326907</v>
      </c>
      <c r="AB19" s="69">
        <f t="shared" si="10"/>
        <v>106.31719867362605</v>
      </c>
      <c r="AD19" s="46">
        <f t="shared" si="11"/>
        <v>106.31719867362605</v>
      </c>
      <c r="AE19" s="46">
        <f t="shared" si="12"/>
        <v>0</v>
      </c>
    </row>
    <row r="20" spans="1:31" x14ac:dyDescent="0.3">
      <c r="B20" s="2">
        <f t="shared" si="3"/>
        <v>2036</v>
      </c>
      <c r="C20" s="3">
        <f t="shared" si="4"/>
        <v>340.86981988859139</v>
      </c>
      <c r="D20" s="3">
        <f t="shared" si="0"/>
        <v>340.86981988859139</v>
      </c>
      <c r="E20" s="3">
        <f t="shared" si="5"/>
        <v>2.7125558393056686</v>
      </c>
      <c r="F20" s="3">
        <f t="shared" si="5"/>
        <v>400</v>
      </c>
      <c r="G20" s="3">
        <f>+'[16]Colector Montt Baquedano'!$AB$18</f>
        <v>107.94805842016773</v>
      </c>
      <c r="H20" s="3">
        <f t="shared" si="1"/>
        <v>232.92176146842365</v>
      </c>
      <c r="L20" s="9"/>
      <c r="T20" s="56">
        <f t="shared" si="6"/>
        <v>2036</v>
      </c>
      <c r="U20" s="9">
        <f>+'[16]Colector Montt Baquedano'!$V$27</f>
        <v>2357.9023891676361</v>
      </c>
      <c r="V20" s="34">
        <f>+'[16]Colector Montt Baquedano'!$U$27</f>
        <v>5.3128034527794457</v>
      </c>
      <c r="W20" s="44">
        <f t="shared" si="2"/>
        <v>3.5291090133964524</v>
      </c>
      <c r="X20" s="34">
        <f t="shared" si="7"/>
        <v>18.749462551607735</v>
      </c>
      <c r="Y20" s="34">
        <f t="shared" si="8"/>
        <v>1.0625606905558891</v>
      </c>
      <c r="Z20" s="34">
        <f t="shared" si="9"/>
        <v>19.812023242163622</v>
      </c>
      <c r="AA20" s="34">
        <f>+'[16]Colector Montt Baquedano'!$AA$27</f>
        <v>88.136035178004107</v>
      </c>
      <c r="AB20" s="69">
        <f t="shared" si="10"/>
        <v>107.94805842016773</v>
      </c>
      <c r="AD20" s="46">
        <f t="shared" si="11"/>
        <v>107.94805842016773</v>
      </c>
      <c r="AE20" s="46">
        <f t="shared" si="12"/>
        <v>0</v>
      </c>
    </row>
    <row r="21" spans="1:31" ht="13.8" thickBot="1" x14ac:dyDescent="0.35">
      <c r="B21" s="2">
        <f t="shared" si="3"/>
        <v>2037</v>
      </c>
      <c r="C21" s="3">
        <f t="shared" si="4"/>
        <v>340.86981988859139</v>
      </c>
      <c r="D21" s="3">
        <f t="shared" si="0"/>
        <v>340.86981988859139</v>
      </c>
      <c r="E21" s="3">
        <f t="shared" si="5"/>
        <v>2.7125558393056686</v>
      </c>
      <c r="F21" s="3">
        <f t="shared" si="5"/>
        <v>400</v>
      </c>
      <c r="G21" s="3">
        <f>+'[17]Colector Montt Baquedano'!$AB$18</f>
        <v>109.58168025005261</v>
      </c>
      <c r="H21" s="3">
        <f t="shared" si="1"/>
        <v>231.28813963853878</v>
      </c>
      <c r="I21" s="13">
        <f>+G21/G6-1</f>
        <v>0.27674596940388541</v>
      </c>
      <c r="L21" s="9"/>
      <c r="M21" s="8"/>
      <c r="T21" s="58">
        <f>+B21</f>
        <v>2037</v>
      </c>
      <c r="U21" s="59">
        <f>+'[17]Colector Montt Baquedano'!$V$27</f>
        <v>2376.2358719912077</v>
      </c>
      <c r="V21" s="60">
        <f>+'[17]Colector Montt Baquedano'!$U$27</f>
        <v>5.4175549187044565</v>
      </c>
      <c r="W21" s="61">
        <f t="shared" si="2"/>
        <v>3.5263897568100777</v>
      </c>
      <c r="X21" s="60">
        <f>+W21*V21</f>
        <v>19.104410172275447</v>
      </c>
      <c r="Y21" s="60">
        <f t="shared" si="8"/>
        <v>1.0835109837408914</v>
      </c>
      <c r="Z21" s="60">
        <f t="shared" si="9"/>
        <v>20.187921156016337</v>
      </c>
      <c r="AA21" s="60">
        <f>+'[17]Colector Montt Baquedano'!$AA$27</f>
        <v>89.393759094036284</v>
      </c>
      <c r="AB21" s="70">
        <f t="shared" si="10"/>
        <v>109.58168025005261</v>
      </c>
      <c r="AD21" s="46">
        <f t="shared" si="11"/>
        <v>109.58168025005261</v>
      </c>
      <c r="AE21" s="46">
        <f t="shared" si="12"/>
        <v>0</v>
      </c>
    </row>
    <row r="22" spans="1:31" x14ac:dyDescent="0.3">
      <c r="L22" s="9"/>
      <c r="AD22" s="46"/>
      <c r="AE22" s="46"/>
    </row>
    <row r="23" spans="1:31" x14ac:dyDescent="0.3">
      <c r="L23" s="9"/>
      <c r="AD23" s="46"/>
      <c r="AE23" s="46"/>
    </row>
    <row r="24" spans="1:31" x14ac:dyDescent="0.3">
      <c r="AD24" s="46"/>
      <c r="AE24" s="46"/>
    </row>
    <row r="25" spans="1:31" x14ac:dyDescent="0.3">
      <c r="AD25" s="46"/>
      <c r="AE25" s="46"/>
    </row>
    <row r="27" spans="1:31" x14ac:dyDescent="0.3">
      <c r="B27" s="5" t="s">
        <v>46</v>
      </c>
      <c r="E27" s="6" t="s">
        <v>7</v>
      </c>
      <c r="F27" s="7">
        <f>+SUM('[17]Colector Montt Baquedano'!$M$19:$M$27)</f>
        <v>593.63</v>
      </c>
      <c r="G27" s="8" t="s">
        <v>8</v>
      </c>
      <c r="L27" s="5" t="s">
        <v>76</v>
      </c>
      <c r="O27" s="6"/>
      <c r="P27" s="7"/>
      <c r="Q27" s="8"/>
    </row>
    <row r="28" spans="1:31" x14ac:dyDescent="0.3">
      <c r="B28" s="12" t="s">
        <v>72</v>
      </c>
    </row>
    <row r="29" spans="1:31" x14ac:dyDescent="0.3">
      <c r="B29" s="96" t="s">
        <v>0</v>
      </c>
      <c r="C29" s="96" t="s">
        <v>20</v>
      </c>
      <c r="D29" s="96" t="s">
        <v>1</v>
      </c>
      <c r="E29" s="96"/>
      <c r="F29" s="96"/>
      <c r="G29" s="96" t="s">
        <v>21</v>
      </c>
      <c r="H29" s="96" t="s">
        <v>2</v>
      </c>
      <c r="L29" s="96" t="s">
        <v>0</v>
      </c>
      <c r="M29" s="96" t="s">
        <v>13</v>
      </c>
      <c r="N29" s="97" t="s">
        <v>14</v>
      </c>
      <c r="O29" s="98"/>
      <c r="P29" s="98"/>
      <c r="Q29" s="99"/>
      <c r="R29" s="100" t="s">
        <v>19</v>
      </c>
    </row>
    <row r="30" spans="1:31" x14ac:dyDescent="0.3">
      <c r="B30" s="96"/>
      <c r="C30" s="96"/>
      <c r="D30" s="18" t="s">
        <v>3</v>
      </c>
      <c r="E30" s="18" t="s">
        <v>4</v>
      </c>
      <c r="F30" s="18" t="s">
        <v>5</v>
      </c>
      <c r="G30" s="96"/>
      <c r="H30" s="96"/>
      <c r="L30" s="96"/>
      <c r="M30" s="96"/>
      <c r="N30" s="18" t="s">
        <v>17</v>
      </c>
      <c r="O30" s="18" t="s">
        <v>16</v>
      </c>
      <c r="P30" s="18" t="s">
        <v>15</v>
      </c>
      <c r="Q30" s="18" t="s">
        <v>18</v>
      </c>
      <c r="R30" s="101"/>
    </row>
    <row r="31" spans="1:31" x14ac:dyDescent="0.3">
      <c r="A31" s="12" t="s">
        <v>6</v>
      </c>
      <c r="B31" s="2">
        <f>+B6</f>
        <v>2022</v>
      </c>
      <c r="C31" s="3">
        <f>+SUMPRODUCT('[17]Colector Montt Baquedano'!$AL$19:$AL$27,'[17]Colector Montt Baquedano'!$M$19:$M$27)/F27</f>
        <v>99.586392306782471</v>
      </c>
      <c r="D31" s="3">
        <f t="shared" ref="D31:D46" si="13">+C31</f>
        <v>99.586392306782471</v>
      </c>
      <c r="E31" s="3">
        <f>D31/(0.25*PI()*(F31/1000)^2)/1000</f>
        <v>0.7924833300156563</v>
      </c>
      <c r="F31" s="3">
        <f>+SUMPRODUCT('[17]Colector Montt Baquedano'!$F$19:$F$27,'[17]Colector Montt Baquedano'!$M$19:$M$27)/F27</f>
        <v>400</v>
      </c>
      <c r="G31" s="3">
        <f>+'[2]Colector Montt Baquedano'!$AB$27</f>
        <v>85.828882860085685</v>
      </c>
      <c r="H31" s="3">
        <f t="shared" ref="H31:H46" si="14">+D31-G31</f>
        <v>13.757509446696787</v>
      </c>
      <c r="L31" s="2">
        <f>+B31</f>
        <v>2022</v>
      </c>
      <c r="M31" s="1" t="str">
        <f t="shared" ref="M31:M46" si="15">+IF(H31&gt;0,"",-H31)</f>
        <v/>
      </c>
      <c r="N31" s="14"/>
      <c r="O31" s="14"/>
      <c r="P31" s="14"/>
      <c r="Q31" s="14"/>
      <c r="R31" s="1"/>
    </row>
    <row r="32" spans="1:31" x14ac:dyDescent="0.3">
      <c r="B32" s="2">
        <f t="shared" ref="B32:B46" si="16">+B31+1</f>
        <v>2023</v>
      </c>
      <c r="C32" s="3">
        <f t="shared" ref="C32:C46" si="17">+C31</f>
        <v>99.586392306782471</v>
      </c>
      <c r="D32" s="3">
        <f t="shared" si="13"/>
        <v>99.586392306782471</v>
      </c>
      <c r="E32" s="3">
        <f t="shared" ref="E32:E46" si="18">+E31</f>
        <v>0.7924833300156563</v>
      </c>
      <c r="F32" s="3">
        <f t="shared" ref="F32:F46" si="19">+F31</f>
        <v>400</v>
      </c>
      <c r="G32" s="3">
        <f>+'[3]Colector Montt Baquedano'!$AB$27</f>
        <v>87.807126463982669</v>
      </c>
      <c r="H32" s="3">
        <f t="shared" si="14"/>
        <v>11.779265842799802</v>
      </c>
      <c r="L32" s="2">
        <f t="shared" ref="L32:L46" si="20">+L31+1</f>
        <v>2023</v>
      </c>
      <c r="M32" s="1" t="str">
        <f t="shared" si="15"/>
        <v/>
      </c>
      <c r="N32" s="14"/>
      <c r="O32" s="14"/>
      <c r="P32" s="14"/>
      <c r="Q32" s="14"/>
      <c r="R32" s="1"/>
    </row>
    <row r="33" spans="2:19" x14ac:dyDescent="0.3">
      <c r="B33" s="2">
        <f t="shared" si="16"/>
        <v>2024</v>
      </c>
      <c r="C33" s="3">
        <f t="shared" si="17"/>
        <v>99.586392306782471</v>
      </c>
      <c r="D33" s="3">
        <f t="shared" si="13"/>
        <v>99.586392306782471</v>
      </c>
      <c r="E33" s="3">
        <f t="shared" si="18"/>
        <v>0.7924833300156563</v>
      </c>
      <c r="F33" s="3">
        <f t="shared" si="19"/>
        <v>400</v>
      </c>
      <c r="G33" s="3">
        <f>+'[4]Colector Montt Baquedano'!$AB$27</f>
        <v>89.283670940649756</v>
      </c>
      <c r="H33" s="3">
        <f t="shared" si="14"/>
        <v>10.302721366132715</v>
      </c>
      <c r="L33" s="2">
        <f t="shared" si="20"/>
        <v>2024</v>
      </c>
      <c r="M33" s="1" t="str">
        <f t="shared" si="15"/>
        <v/>
      </c>
      <c r="N33" s="4"/>
      <c r="O33" s="3"/>
      <c r="P33" s="1"/>
      <c r="Q33" s="3"/>
      <c r="R33" s="1"/>
    </row>
    <row r="34" spans="2:19" x14ac:dyDescent="0.3">
      <c r="B34" s="2">
        <f t="shared" si="16"/>
        <v>2025</v>
      </c>
      <c r="C34" s="3">
        <f t="shared" si="17"/>
        <v>99.586392306782471</v>
      </c>
      <c r="D34" s="3">
        <f t="shared" si="13"/>
        <v>99.586392306782471</v>
      </c>
      <c r="E34" s="3">
        <f t="shared" si="18"/>
        <v>0.7924833300156563</v>
      </c>
      <c r="F34" s="3">
        <f t="shared" si="19"/>
        <v>400</v>
      </c>
      <c r="G34" s="3">
        <f>+'[5]Colector Montt Baquedano'!$AB$27</f>
        <v>90.76486627139144</v>
      </c>
      <c r="H34" s="3">
        <f t="shared" si="14"/>
        <v>8.821526035391031</v>
      </c>
      <c r="L34" s="2">
        <f t="shared" si="20"/>
        <v>2025</v>
      </c>
      <c r="M34" s="1" t="str">
        <f t="shared" si="15"/>
        <v/>
      </c>
      <c r="N34" s="4"/>
      <c r="O34" s="3"/>
      <c r="P34" s="1"/>
      <c r="Q34" s="3"/>
      <c r="R34" s="1"/>
    </row>
    <row r="35" spans="2:19" x14ac:dyDescent="0.3">
      <c r="B35" s="2">
        <f t="shared" si="16"/>
        <v>2026</v>
      </c>
      <c r="C35" s="3">
        <f t="shared" si="17"/>
        <v>99.586392306782471</v>
      </c>
      <c r="D35" s="3">
        <f t="shared" si="13"/>
        <v>99.586392306782471</v>
      </c>
      <c r="E35" s="3">
        <f t="shared" si="18"/>
        <v>0.7924833300156563</v>
      </c>
      <c r="F35" s="3">
        <f t="shared" si="19"/>
        <v>400</v>
      </c>
      <c r="G35" s="3">
        <f>+'[6]Colector Montt Baquedano'!$AB$27</f>
        <v>92.261794328505189</v>
      </c>
      <c r="H35" s="3">
        <f t="shared" si="14"/>
        <v>7.3245979782772821</v>
      </c>
      <c r="L35" s="2">
        <f t="shared" si="20"/>
        <v>2026</v>
      </c>
      <c r="M35" s="1" t="str">
        <f t="shared" si="15"/>
        <v/>
      </c>
      <c r="N35" s="4"/>
      <c r="O35" s="3"/>
      <c r="P35" s="1"/>
      <c r="Q35" s="3"/>
      <c r="R35" s="1"/>
    </row>
    <row r="36" spans="2:19" x14ac:dyDescent="0.3">
      <c r="B36" s="2">
        <f t="shared" si="16"/>
        <v>2027</v>
      </c>
      <c r="C36" s="3">
        <f t="shared" si="17"/>
        <v>99.586392306782471</v>
      </c>
      <c r="D36" s="3">
        <f t="shared" si="13"/>
        <v>99.586392306782471</v>
      </c>
      <c r="E36" s="3">
        <f t="shared" si="18"/>
        <v>0.7924833300156563</v>
      </c>
      <c r="F36" s="3">
        <f t="shared" si="19"/>
        <v>400</v>
      </c>
      <c r="G36" s="3">
        <f>+'[7]Colector Montt Baquedano'!$AB$27</f>
        <v>93.771664721712256</v>
      </c>
      <c r="H36" s="3">
        <f t="shared" si="14"/>
        <v>5.8147275850702158</v>
      </c>
      <c r="L36" s="2">
        <f t="shared" si="20"/>
        <v>2027</v>
      </c>
      <c r="M36" s="1" t="str">
        <f t="shared" si="15"/>
        <v/>
      </c>
      <c r="N36" s="4"/>
      <c r="O36" s="3"/>
      <c r="P36" s="1"/>
      <c r="Q36" s="3"/>
      <c r="R36" s="1"/>
    </row>
    <row r="37" spans="2:19" x14ac:dyDescent="0.3">
      <c r="B37" s="2">
        <f t="shared" si="16"/>
        <v>2028</v>
      </c>
      <c r="C37" s="3">
        <f t="shared" si="17"/>
        <v>99.586392306782471</v>
      </c>
      <c r="D37" s="3">
        <f t="shared" si="13"/>
        <v>99.586392306782471</v>
      </c>
      <c r="E37" s="3">
        <f t="shared" si="18"/>
        <v>0.7924833300156563</v>
      </c>
      <c r="F37" s="3">
        <f t="shared" si="19"/>
        <v>400</v>
      </c>
      <c r="G37" s="3">
        <f>+'[8]Colector Montt Baquedano'!$AB$27</f>
        <v>95.300249152577393</v>
      </c>
      <c r="H37" s="3">
        <f t="shared" si="14"/>
        <v>4.2861431542050781</v>
      </c>
      <c r="L37" s="2">
        <f t="shared" si="20"/>
        <v>2028</v>
      </c>
      <c r="M37" s="1" t="str">
        <f t="shared" si="15"/>
        <v/>
      </c>
      <c r="N37" s="4"/>
      <c r="O37" s="3"/>
      <c r="P37" s="1"/>
      <c r="Q37" s="3"/>
      <c r="R37" s="1"/>
    </row>
    <row r="38" spans="2:19" x14ac:dyDescent="0.3">
      <c r="B38" s="2">
        <f t="shared" si="16"/>
        <v>2029</v>
      </c>
      <c r="C38" s="3">
        <f t="shared" si="17"/>
        <v>99.586392306782471</v>
      </c>
      <c r="D38" s="3">
        <f t="shared" si="13"/>
        <v>99.586392306782471</v>
      </c>
      <c r="E38" s="3">
        <f t="shared" si="18"/>
        <v>0.7924833300156563</v>
      </c>
      <c r="F38" s="3">
        <f t="shared" si="19"/>
        <v>400</v>
      </c>
      <c r="G38" s="3">
        <f>+'[9]Colector Montt Baquedano'!$AB$27</f>
        <v>96.832925763701212</v>
      </c>
      <c r="H38" s="3">
        <f t="shared" si="14"/>
        <v>2.7534665430812595</v>
      </c>
      <c r="L38" s="2">
        <f t="shared" si="20"/>
        <v>2029</v>
      </c>
      <c r="M38" s="1" t="str">
        <f t="shared" si="15"/>
        <v/>
      </c>
      <c r="N38" s="4"/>
      <c r="O38" s="3"/>
      <c r="P38" s="1"/>
      <c r="Q38" s="3"/>
      <c r="R38" s="1"/>
    </row>
    <row r="39" spans="2:19" x14ac:dyDescent="0.3">
      <c r="B39" s="2">
        <f t="shared" si="16"/>
        <v>2030</v>
      </c>
      <c r="C39" s="3">
        <f t="shared" si="17"/>
        <v>99.586392306782471</v>
      </c>
      <c r="D39" s="3">
        <f t="shared" si="13"/>
        <v>99.586392306782471</v>
      </c>
      <c r="E39" s="3">
        <f t="shared" si="18"/>
        <v>0.7924833300156563</v>
      </c>
      <c r="F39" s="3">
        <f t="shared" si="19"/>
        <v>400</v>
      </c>
      <c r="G39" s="3">
        <f>+'[10]Colector Montt Baquedano'!$AB$27</f>
        <v>98.381387596703348</v>
      </c>
      <c r="H39" s="3">
        <f t="shared" si="14"/>
        <v>1.2050047100791232</v>
      </c>
      <c r="L39" s="2">
        <f t="shared" si="20"/>
        <v>2030</v>
      </c>
      <c r="M39" s="3" t="str">
        <f t="shared" si="15"/>
        <v/>
      </c>
      <c r="N39" s="4"/>
      <c r="O39" s="3"/>
      <c r="P39" s="1"/>
      <c r="Q39" s="3"/>
      <c r="R39" s="1"/>
    </row>
    <row r="40" spans="2:19" x14ac:dyDescent="0.3">
      <c r="B40" s="2">
        <f t="shared" si="16"/>
        <v>2031</v>
      </c>
      <c r="C40" s="3">
        <f t="shared" si="17"/>
        <v>99.586392306782471</v>
      </c>
      <c r="D40" s="3">
        <f t="shared" si="13"/>
        <v>99.586392306782471</v>
      </c>
      <c r="E40" s="3">
        <f t="shared" si="18"/>
        <v>0.7924833300156563</v>
      </c>
      <c r="F40" s="3">
        <f t="shared" si="19"/>
        <v>400</v>
      </c>
      <c r="G40" s="3">
        <f>+'[11]Colector Montt Baquedano'!$AB$27</f>
        <v>99.942598065348037</v>
      </c>
      <c r="H40" s="3">
        <f t="shared" si="14"/>
        <v>-0.35620575856556513</v>
      </c>
      <c r="L40" s="2">
        <f t="shared" si="20"/>
        <v>2031</v>
      </c>
      <c r="M40" s="3">
        <f t="shared" si="15"/>
        <v>0.35620575856556513</v>
      </c>
      <c r="N40" s="4">
        <f>+F27</f>
        <v>593.63</v>
      </c>
      <c r="O40" s="3">
        <f>+O44</f>
        <v>250</v>
      </c>
      <c r="P40" s="3">
        <f>+P44</f>
        <v>28.527464032337335</v>
      </c>
      <c r="Q40" s="3">
        <f>+Q44</f>
        <v>0.68305343421366027</v>
      </c>
      <c r="R40" s="3">
        <f t="shared" ref="R40:R43" si="21">+P40-M40</f>
        <v>28.17125827377177</v>
      </c>
    </row>
    <row r="41" spans="2:19" x14ac:dyDescent="0.3">
      <c r="B41" s="2">
        <f t="shared" si="16"/>
        <v>2032</v>
      </c>
      <c r="C41" s="3">
        <f t="shared" si="17"/>
        <v>99.586392306782471</v>
      </c>
      <c r="D41" s="3">
        <f t="shared" si="13"/>
        <v>99.586392306782471</v>
      </c>
      <c r="E41" s="3">
        <f t="shared" si="18"/>
        <v>0.7924833300156563</v>
      </c>
      <c r="F41" s="3">
        <f t="shared" si="19"/>
        <v>400</v>
      </c>
      <c r="G41" s="3">
        <f>+'[12]Colector Montt Baquedano'!$AB$27</f>
        <v>101.52264808533893</v>
      </c>
      <c r="H41" s="3">
        <f t="shared" si="14"/>
        <v>-1.9362557785564576</v>
      </c>
      <c r="L41" s="2">
        <f t="shared" si="20"/>
        <v>2032</v>
      </c>
      <c r="M41" s="3">
        <f t="shared" si="15"/>
        <v>1.9362557785564576</v>
      </c>
      <c r="N41" s="4">
        <f>+N40</f>
        <v>593.63</v>
      </c>
      <c r="O41" s="3">
        <f>+O40</f>
        <v>250</v>
      </c>
      <c r="P41" s="3">
        <f>+P40</f>
        <v>28.527464032337335</v>
      </c>
      <c r="Q41" s="3">
        <f>+Q40</f>
        <v>0.68305343421366027</v>
      </c>
      <c r="R41" s="3">
        <f t="shared" si="21"/>
        <v>26.591208253780877</v>
      </c>
    </row>
    <row r="42" spans="2:19" x14ac:dyDescent="0.3">
      <c r="B42" s="2">
        <f t="shared" si="16"/>
        <v>2033</v>
      </c>
      <c r="C42" s="3">
        <f t="shared" si="17"/>
        <v>99.586392306782471</v>
      </c>
      <c r="D42" s="3">
        <f t="shared" si="13"/>
        <v>99.586392306782471</v>
      </c>
      <c r="E42" s="3">
        <f t="shared" si="18"/>
        <v>0.7924833300156563</v>
      </c>
      <c r="F42" s="3">
        <f t="shared" si="19"/>
        <v>400</v>
      </c>
      <c r="G42" s="3">
        <f>+'[13]Colector Montt Baquedano'!$AB$27</f>
        <v>103.10602267557954</v>
      </c>
      <c r="H42" s="3">
        <f t="shared" si="14"/>
        <v>-3.5196303687970669</v>
      </c>
      <c r="L42" s="2">
        <f t="shared" si="20"/>
        <v>2033</v>
      </c>
      <c r="M42" s="3">
        <f t="shared" si="15"/>
        <v>3.5196303687970669</v>
      </c>
      <c r="N42" s="4">
        <f t="shared" ref="N42:N45" si="22">+N41</f>
        <v>593.63</v>
      </c>
      <c r="O42" s="3">
        <f t="shared" ref="O42:O43" si="23">+O41</f>
        <v>250</v>
      </c>
      <c r="P42" s="3">
        <f t="shared" ref="P42:P43" si="24">+P41</f>
        <v>28.527464032337335</v>
      </c>
      <c r="Q42" s="3">
        <f t="shared" ref="Q42:Q43" si="25">+Q41</f>
        <v>0.68305343421366027</v>
      </c>
      <c r="R42" s="3">
        <f t="shared" si="21"/>
        <v>25.007833663540268</v>
      </c>
    </row>
    <row r="43" spans="2:19" x14ac:dyDescent="0.3">
      <c r="B43" s="2">
        <f t="shared" si="16"/>
        <v>2034</v>
      </c>
      <c r="C43" s="3">
        <f t="shared" si="17"/>
        <v>99.586392306782471</v>
      </c>
      <c r="D43" s="3">
        <f t="shared" si="13"/>
        <v>99.586392306782471</v>
      </c>
      <c r="E43" s="3">
        <f t="shared" si="18"/>
        <v>0.7924833300156563</v>
      </c>
      <c r="F43" s="3">
        <f t="shared" si="19"/>
        <v>400</v>
      </c>
      <c r="G43" s="3">
        <f>+'[14]Colector Montt Baquedano'!$AB$27</f>
        <v>104.70537284178198</v>
      </c>
      <c r="H43" s="3">
        <f t="shared" si="14"/>
        <v>-5.1189805349995083</v>
      </c>
      <c r="L43" s="2">
        <f t="shared" si="20"/>
        <v>2034</v>
      </c>
      <c r="M43" s="3">
        <f t="shared" si="15"/>
        <v>5.1189805349995083</v>
      </c>
      <c r="N43" s="4">
        <f t="shared" si="22"/>
        <v>593.63</v>
      </c>
      <c r="O43" s="3">
        <f t="shared" si="23"/>
        <v>250</v>
      </c>
      <c r="P43" s="3">
        <f t="shared" si="24"/>
        <v>28.527464032337335</v>
      </c>
      <c r="Q43" s="3">
        <f t="shared" si="25"/>
        <v>0.68305343421366027</v>
      </c>
      <c r="R43" s="3">
        <f t="shared" si="21"/>
        <v>23.408483497337826</v>
      </c>
    </row>
    <row r="44" spans="2:19" x14ac:dyDescent="0.3">
      <c r="B44" s="2">
        <f t="shared" si="16"/>
        <v>2035</v>
      </c>
      <c r="C44" s="3">
        <f t="shared" si="17"/>
        <v>99.586392306782471</v>
      </c>
      <c r="D44" s="3">
        <f t="shared" si="13"/>
        <v>99.586392306782471</v>
      </c>
      <c r="E44" s="3">
        <f t="shared" si="18"/>
        <v>0.7924833300156563</v>
      </c>
      <c r="F44" s="3">
        <f t="shared" si="19"/>
        <v>400</v>
      </c>
      <c r="G44" s="3">
        <f>+'[15]Colector Montt Baquedano'!$AB$27</f>
        <v>106.31719867362605</v>
      </c>
      <c r="H44" s="3">
        <f t="shared" si="14"/>
        <v>-6.7308063668435807</v>
      </c>
      <c r="L44" s="2">
        <f t="shared" si="20"/>
        <v>2035</v>
      </c>
      <c r="M44" s="3">
        <f t="shared" si="15"/>
        <v>6.7308063668435807</v>
      </c>
      <c r="N44" s="4">
        <f t="shared" si="22"/>
        <v>593.63</v>
      </c>
      <c r="O44" s="3">
        <f>+'[17]Colector Montt Baquedano (2)'!$E$77</f>
        <v>250</v>
      </c>
      <c r="P44" s="3">
        <f>+'[17]Colector Montt Baquedano (2)'!$AL$77</f>
        <v>28.527464032337335</v>
      </c>
      <c r="Q44" s="3">
        <f>+P44/1000/(0.25*PI()*(S44/1000)^2)</f>
        <v>0.68305343421366027</v>
      </c>
      <c r="R44" s="3">
        <f t="shared" ref="R44:R46" si="26">+P44-M44</f>
        <v>21.796657665493754</v>
      </c>
      <c r="S44" s="12">
        <f>+'[17]Colector Montt Baquedano (2)'!$F$77</f>
        <v>230.6</v>
      </c>
    </row>
    <row r="45" spans="2:19" x14ac:dyDescent="0.3">
      <c r="B45" s="2">
        <f t="shared" si="16"/>
        <v>2036</v>
      </c>
      <c r="C45" s="3">
        <f t="shared" si="17"/>
        <v>99.586392306782471</v>
      </c>
      <c r="D45" s="3">
        <f t="shared" si="13"/>
        <v>99.586392306782471</v>
      </c>
      <c r="E45" s="3">
        <f t="shared" si="18"/>
        <v>0.7924833300156563</v>
      </c>
      <c r="F45" s="3">
        <f t="shared" si="19"/>
        <v>400</v>
      </c>
      <c r="G45" s="3">
        <f>+'[16]Colector Montt Baquedano'!$AB$27</f>
        <v>107.94805842016773</v>
      </c>
      <c r="H45" s="3">
        <f t="shared" si="14"/>
        <v>-8.3616661133852546</v>
      </c>
      <c r="L45" s="2">
        <f t="shared" si="20"/>
        <v>2036</v>
      </c>
      <c r="M45" s="3">
        <f t="shared" si="15"/>
        <v>8.3616661133852546</v>
      </c>
      <c r="N45" s="4">
        <f t="shared" si="22"/>
        <v>593.63</v>
      </c>
      <c r="O45" s="3">
        <f t="shared" ref="O45:Q46" si="27">+O44</f>
        <v>250</v>
      </c>
      <c r="P45" s="3">
        <f t="shared" si="27"/>
        <v>28.527464032337335</v>
      </c>
      <c r="Q45" s="3">
        <f t="shared" si="27"/>
        <v>0.68305343421366027</v>
      </c>
      <c r="R45" s="3">
        <f t="shared" si="26"/>
        <v>20.16579791895208</v>
      </c>
    </row>
    <row r="46" spans="2:19" x14ac:dyDescent="0.3">
      <c r="B46" s="2">
        <f t="shared" si="16"/>
        <v>2037</v>
      </c>
      <c r="C46" s="3">
        <f t="shared" si="17"/>
        <v>99.586392306782471</v>
      </c>
      <c r="D46" s="3">
        <f t="shared" si="13"/>
        <v>99.586392306782471</v>
      </c>
      <c r="E46" s="3">
        <f t="shared" si="18"/>
        <v>0.7924833300156563</v>
      </c>
      <c r="F46" s="3">
        <f t="shared" si="19"/>
        <v>400</v>
      </c>
      <c r="G46" s="3">
        <f>+'[17]Colector Montt Baquedano'!$AB$27</f>
        <v>109.58168025005261</v>
      </c>
      <c r="H46" s="3">
        <f t="shared" si="14"/>
        <v>-9.9952879432701423</v>
      </c>
      <c r="I46" s="13"/>
      <c r="L46" s="2">
        <f t="shared" si="20"/>
        <v>2037</v>
      </c>
      <c r="M46" s="3">
        <f t="shared" si="15"/>
        <v>9.9952879432701423</v>
      </c>
      <c r="N46" s="4">
        <f>+N45</f>
        <v>593.63</v>
      </c>
      <c r="O46" s="3">
        <f t="shared" si="27"/>
        <v>250</v>
      </c>
      <c r="P46" s="3">
        <f t="shared" si="27"/>
        <v>28.527464032337335</v>
      </c>
      <c r="Q46" s="3">
        <f t="shared" si="27"/>
        <v>0.68305343421366027</v>
      </c>
      <c r="R46" s="3">
        <f t="shared" si="26"/>
        <v>18.532176089067192</v>
      </c>
    </row>
  </sheetData>
  <mergeCells count="14">
    <mergeCell ref="B4:B5"/>
    <mergeCell ref="C4:C5"/>
    <mergeCell ref="D4:F4"/>
    <mergeCell ref="G4:G5"/>
    <mergeCell ref="H4:H5"/>
    <mergeCell ref="L29:L30"/>
    <mergeCell ref="M29:M30"/>
    <mergeCell ref="N29:Q29"/>
    <mergeCell ref="R29:R30"/>
    <mergeCell ref="B29:B30"/>
    <mergeCell ref="C29:C30"/>
    <mergeCell ref="D29:F29"/>
    <mergeCell ref="G29:G30"/>
    <mergeCell ref="H29:H30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2:D4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45</v>
      </c>
      <c r="E2" s="6" t="s">
        <v>7</v>
      </c>
      <c r="F2" s="7">
        <f>+'[17]Colector PAC II, III y IV'!$N$33</f>
        <v>129.84</v>
      </c>
      <c r="G2" s="8" t="s">
        <v>8</v>
      </c>
      <c r="I2" s="16" t="s">
        <v>65</v>
      </c>
      <c r="J2" s="17">
        <v>144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179</v>
      </c>
      <c r="Q3" s="12" t="s">
        <v>181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P.A. Cerda III'!B6</f>
        <v>2022</v>
      </c>
      <c r="C6" s="3">
        <f>+SUMPRODUCT('[17]Colector PAC II, III y IV'!$AL$32:$AL$33,'[17]Colector PAC II, III y IV'!$M$32:$M$33)/F2</f>
        <v>242.87074199596125</v>
      </c>
      <c r="D6" s="3">
        <f t="shared" ref="D6:D21" si="0">+C6</f>
        <v>242.87074199596125</v>
      </c>
      <c r="E6" s="3">
        <f>D6/(0.25*PI()*(F6/1000)^2)/1000</f>
        <v>2.1803423323959659</v>
      </c>
      <c r="F6" s="3">
        <f>+SUMPRODUCT('[17]Colector PAC II, III y IV'!$F$32:$F$33,'[17]Colector PAC II, III y IV'!$M$32:$M$33)/F2</f>
        <v>376.6</v>
      </c>
      <c r="G6" s="3">
        <f>+'[2]Colector PAC II, III y IV'!$AB$33</f>
        <v>81.21732207011857</v>
      </c>
      <c r="H6" s="3">
        <f t="shared" ref="H6:H21" si="1">+D6-G6</f>
        <v>161.65341992584268</v>
      </c>
      <c r="L6" s="56">
        <f>+B6</f>
        <v>2022</v>
      </c>
      <c r="M6" s="9">
        <f>+'[2]Colector PAC II, III y IV'!$V$33</f>
        <v>2834.7671812488211</v>
      </c>
      <c r="N6" s="34">
        <f>+'[2]Colector PAC II, III y IV'!$U$33</f>
        <v>6.1734846459019188</v>
      </c>
      <c r="O6" s="44">
        <f t="shared" ref="O6:O21" si="2">1+(14/(4+(SQRT(M6/1000))))</f>
        <v>3.4631942974080534</v>
      </c>
      <c r="P6" s="34">
        <f>+O6*N6</f>
        <v>21.3799768208237</v>
      </c>
      <c r="Q6" s="34">
        <f>+N6*$Q$4</f>
        <v>1.2346969291803838</v>
      </c>
      <c r="R6" s="34">
        <f>+Q6+P6</f>
        <v>22.614673750004084</v>
      </c>
      <c r="S6" s="34">
        <f>+'[2]Colector PAC II, III y IV'!$AA$33</f>
        <v>58.602648320114483</v>
      </c>
      <c r="T6" s="69">
        <f>+R6+S6</f>
        <v>81.21732207011857</v>
      </c>
      <c r="V6" s="46">
        <f>+G6</f>
        <v>81.21732207011857</v>
      </c>
      <c r="W6" s="35">
        <f>+V6-T6</f>
        <v>0</v>
      </c>
    </row>
    <row r="7" spans="1:23" x14ac:dyDescent="0.3">
      <c r="B7" s="2">
        <f t="shared" ref="B7:B21" si="3">+B6+1</f>
        <v>2023</v>
      </c>
      <c r="C7" s="3">
        <f t="shared" ref="C7:C21" si="4">+C6</f>
        <v>242.87074199596125</v>
      </c>
      <c r="D7" s="3">
        <f t="shared" si="0"/>
        <v>242.87074199596125</v>
      </c>
      <c r="E7" s="3">
        <f t="shared" ref="E7:F21" si="5">+E6</f>
        <v>2.1803423323959659</v>
      </c>
      <c r="F7" s="3">
        <f t="shared" si="5"/>
        <v>376.6</v>
      </c>
      <c r="G7" s="3">
        <f>+'[3]Colector PAC II, III y IV'!$AB$33</f>
        <v>82.98895887237569</v>
      </c>
      <c r="H7" s="3">
        <f t="shared" si="1"/>
        <v>159.88178312358556</v>
      </c>
      <c r="L7" s="56">
        <f t="shared" ref="L7:L21" si="6">+B7</f>
        <v>2023</v>
      </c>
      <c r="M7" s="9">
        <f>+'[3]Colector PAC II, III y IV'!$V$33</f>
        <v>2855.2304963443453</v>
      </c>
      <c r="N7" s="34">
        <f>+'[3]Colector PAC II, III y IV'!$U$33</f>
        <v>6.3399257439201797</v>
      </c>
      <c r="O7" s="44">
        <f t="shared" si="2"/>
        <v>3.4605681947930584</v>
      </c>
      <c r="P7" s="34">
        <f t="shared" ref="P7:P20" si="7">+O7*N7</f>
        <v>21.939745386759895</v>
      </c>
      <c r="Q7" s="34">
        <f t="shared" ref="Q7:Q21" si="8">+N7*$Q$4</f>
        <v>1.2679851487840361</v>
      </c>
      <c r="R7" s="34">
        <f t="shared" ref="R7:R21" si="9">+Q7+P7</f>
        <v>23.207730535543931</v>
      </c>
      <c r="S7" s="34">
        <f>+'[3]Colector PAC II, III y IV'!$AA$33</f>
        <v>59.781228336831752</v>
      </c>
      <c r="T7" s="69">
        <f t="shared" ref="T7:T21" si="10">+R7+S7</f>
        <v>82.98895887237569</v>
      </c>
      <c r="V7" s="46">
        <f t="shared" ref="V7:V21" si="11">+G7</f>
        <v>82.98895887237569</v>
      </c>
      <c r="W7" s="35">
        <f t="shared" ref="W7:W21" si="12">+V7-T7</f>
        <v>0</v>
      </c>
    </row>
    <row r="8" spans="1:23" x14ac:dyDescent="0.3">
      <c r="B8" s="2">
        <f t="shared" si="3"/>
        <v>2024</v>
      </c>
      <c r="C8" s="3">
        <f t="shared" si="4"/>
        <v>242.87074199596125</v>
      </c>
      <c r="D8" s="3">
        <f t="shared" si="0"/>
        <v>242.87074199596125</v>
      </c>
      <c r="E8" s="3">
        <f t="shared" si="5"/>
        <v>2.1803423323959659</v>
      </c>
      <c r="F8" s="3">
        <f t="shared" si="5"/>
        <v>376.6</v>
      </c>
      <c r="G8" s="3">
        <f>+'[4]Colector PAC II, III y IV'!$AB$33</f>
        <v>84.326851733340717</v>
      </c>
      <c r="H8" s="3">
        <f t="shared" si="1"/>
        <v>158.54389026262055</v>
      </c>
      <c r="L8" s="56">
        <f t="shared" si="6"/>
        <v>2024</v>
      </c>
      <c r="M8" s="9">
        <f>+'[4]Colector PAC II, III y IV'!$V$33</f>
        <v>2875.7877660546333</v>
      </c>
      <c r="N8" s="34">
        <f>+'[4]Colector PAC II, III y IV'!$U$33</f>
        <v>6.4657710263852124</v>
      </c>
      <c r="O8" s="44">
        <f t="shared" si="2"/>
        <v>3.4579450951630104</v>
      </c>
      <c r="P8" s="34">
        <f t="shared" si="7"/>
        <v>22.35828120713585</v>
      </c>
      <c r="Q8" s="34">
        <f t="shared" si="8"/>
        <v>1.2931542052770426</v>
      </c>
      <c r="R8" s="34">
        <f t="shared" si="9"/>
        <v>23.651435412412891</v>
      </c>
      <c r="S8" s="34">
        <f>+'[4]Colector PAC II, III y IV'!$AA$33</f>
        <v>60.675416320927823</v>
      </c>
      <c r="T8" s="69">
        <f t="shared" si="10"/>
        <v>84.326851733340717</v>
      </c>
      <c r="V8" s="46">
        <f t="shared" si="11"/>
        <v>84.326851733340717</v>
      </c>
      <c r="W8" s="35">
        <f t="shared" si="12"/>
        <v>0</v>
      </c>
    </row>
    <row r="9" spans="1:23" x14ac:dyDescent="0.3">
      <c r="B9" s="2">
        <f t="shared" si="3"/>
        <v>2025</v>
      </c>
      <c r="C9" s="3">
        <f t="shared" si="4"/>
        <v>242.87074199596125</v>
      </c>
      <c r="D9" s="3">
        <f t="shared" si="0"/>
        <v>242.87074199596125</v>
      </c>
      <c r="E9" s="3">
        <f t="shared" si="5"/>
        <v>2.1803423323959659</v>
      </c>
      <c r="F9" s="3">
        <f t="shared" si="5"/>
        <v>376.6</v>
      </c>
      <c r="G9" s="3">
        <f>+'[5]Colector PAC II, III y IV'!$AB$33</f>
        <v>85.671265783327243</v>
      </c>
      <c r="H9" s="3">
        <f t="shared" si="1"/>
        <v>157.19947621263401</v>
      </c>
      <c r="L9" s="56">
        <f t="shared" si="6"/>
        <v>2025</v>
      </c>
      <c r="M9" s="9">
        <f>+'[5]Colector PAC II, III y IV'!$V$33</f>
        <v>2896.420199456732</v>
      </c>
      <c r="N9" s="34">
        <f>+'[5]Colector PAC II, III y IV'!$U$33</f>
        <v>6.5921814915523758</v>
      </c>
      <c r="O9" s="44">
        <f t="shared" si="2"/>
        <v>3.4553274021405449</v>
      </c>
      <c r="P9" s="34">
        <f t="shared" si="7"/>
        <v>22.778145347644653</v>
      </c>
      <c r="Q9" s="34">
        <f t="shared" si="8"/>
        <v>1.3184362983104752</v>
      </c>
      <c r="R9" s="34">
        <f t="shared" si="9"/>
        <v>24.096581645955126</v>
      </c>
      <c r="S9" s="34">
        <f>+'[5]Colector PAC II, III y IV'!$AA$33</f>
        <v>61.574684137372117</v>
      </c>
      <c r="T9" s="69">
        <f t="shared" si="10"/>
        <v>85.671265783327243</v>
      </c>
      <c r="V9" s="46">
        <f t="shared" si="11"/>
        <v>85.671265783327243</v>
      </c>
      <c r="W9" s="35">
        <f t="shared" si="12"/>
        <v>0</v>
      </c>
    </row>
    <row r="10" spans="1:23" x14ac:dyDescent="0.3">
      <c r="B10" s="2">
        <f t="shared" si="3"/>
        <v>2026</v>
      </c>
      <c r="C10" s="3">
        <f t="shared" si="4"/>
        <v>242.87074199596125</v>
      </c>
      <c r="D10" s="3">
        <f t="shared" si="0"/>
        <v>242.87074199596125</v>
      </c>
      <c r="E10" s="3">
        <f t="shared" si="5"/>
        <v>2.1803423323959659</v>
      </c>
      <c r="F10" s="3">
        <f t="shared" si="5"/>
        <v>376.6</v>
      </c>
      <c r="G10" s="3">
        <f>+'[6]Colector PAC II, III y IV'!$AB$33</f>
        <v>87.031964167152097</v>
      </c>
      <c r="H10" s="3">
        <f t="shared" si="1"/>
        <v>155.83877782880916</v>
      </c>
      <c r="L10" s="56">
        <f t="shared" si="6"/>
        <v>2026</v>
      </c>
      <c r="M10" s="9">
        <f>+'[6]Colector PAC II, III y IV'!$V$33</f>
        <v>2917.1653783965471</v>
      </c>
      <c r="N10" s="34">
        <f>+'[6]Colector PAC II, III y IV'!$U$33</f>
        <v>6.7200723285219315</v>
      </c>
      <c r="O10" s="44">
        <f t="shared" si="2"/>
        <v>3.4527103734330211</v>
      </c>
      <c r="P10" s="34">
        <f t="shared" si="7"/>
        <v>23.20246343890787</v>
      </c>
      <c r="Q10" s="34">
        <f t="shared" si="8"/>
        <v>1.3440144657043864</v>
      </c>
      <c r="R10" s="34">
        <f t="shared" si="9"/>
        <v>24.546477904612257</v>
      </c>
      <c r="S10" s="34">
        <f>+'[6]Colector PAC II, III y IV'!$AA$33</f>
        <v>62.485486262539837</v>
      </c>
      <c r="T10" s="69">
        <f t="shared" si="10"/>
        <v>87.031964167152097</v>
      </c>
      <c r="V10" s="46">
        <f t="shared" si="11"/>
        <v>87.031964167152097</v>
      </c>
      <c r="W10" s="35">
        <f t="shared" si="12"/>
        <v>0</v>
      </c>
    </row>
    <row r="11" spans="1:23" x14ac:dyDescent="0.3">
      <c r="B11" s="2">
        <f t="shared" si="3"/>
        <v>2027</v>
      </c>
      <c r="C11" s="3">
        <f t="shared" si="4"/>
        <v>242.87074199596125</v>
      </c>
      <c r="D11" s="3">
        <f t="shared" si="0"/>
        <v>242.87074199596125</v>
      </c>
      <c r="E11" s="3">
        <f t="shared" si="5"/>
        <v>2.1803423323959659</v>
      </c>
      <c r="F11" s="3">
        <f t="shared" si="5"/>
        <v>376.6</v>
      </c>
      <c r="G11" s="3">
        <f>+'[7]Colector PAC II, III y IV'!$AB$33</f>
        <v>88.406475903145392</v>
      </c>
      <c r="H11" s="3">
        <f t="shared" si="1"/>
        <v>154.46426609281588</v>
      </c>
      <c r="L11" s="56">
        <f t="shared" si="6"/>
        <v>2027</v>
      </c>
      <c r="M11" s="9">
        <f>+'[7]Colector PAC II, III y IV'!$V$33</f>
        <v>2938.004511951126</v>
      </c>
      <c r="N11" s="34">
        <f>+'[7]Colector PAC II, III y IV'!$U$33</f>
        <v>6.849213646542613</v>
      </c>
      <c r="O11" s="44">
        <f t="shared" si="2"/>
        <v>3.4500964250571768</v>
      </c>
      <c r="P11" s="34">
        <f t="shared" si="7"/>
        <v>23.630447516389498</v>
      </c>
      <c r="Q11" s="34">
        <f t="shared" si="8"/>
        <v>1.3698427293085227</v>
      </c>
      <c r="R11" s="34">
        <f t="shared" si="9"/>
        <v>25.000290245698022</v>
      </c>
      <c r="S11" s="34">
        <f>+'[7]Colector PAC II, III y IV'!$AA$33</f>
        <v>63.406185657447367</v>
      </c>
      <c r="T11" s="69">
        <f t="shared" si="10"/>
        <v>88.406475903145392</v>
      </c>
      <c r="V11" s="46">
        <f t="shared" si="11"/>
        <v>88.406475903145392</v>
      </c>
      <c r="W11" s="35">
        <f t="shared" si="12"/>
        <v>0</v>
      </c>
    </row>
    <row r="12" spans="1:23" x14ac:dyDescent="0.3">
      <c r="B12" s="2">
        <f t="shared" si="3"/>
        <v>2028</v>
      </c>
      <c r="C12" s="3">
        <f t="shared" si="4"/>
        <v>242.87074199596125</v>
      </c>
      <c r="D12" s="3">
        <f t="shared" si="0"/>
        <v>242.87074199596125</v>
      </c>
      <c r="E12" s="3">
        <f t="shared" si="5"/>
        <v>2.1803423323959659</v>
      </c>
      <c r="F12" s="3">
        <f t="shared" si="5"/>
        <v>376.6</v>
      </c>
      <c r="G12" s="3">
        <f>+'[8]Colector PAC II, III y IV'!$AB$33</f>
        <v>89.799916889961125</v>
      </c>
      <c r="H12" s="3">
        <f t="shared" si="1"/>
        <v>153.07082510600014</v>
      </c>
      <c r="L12" s="56">
        <f t="shared" si="6"/>
        <v>2028</v>
      </c>
      <c r="M12" s="9">
        <f>+'[8]Colector PAC II, III y IV'!$V$33</f>
        <v>2958.9563910434217</v>
      </c>
      <c r="N12" s="34">
        <f>+'[8]Colector PAC II, III y IV'!$U$33</f>
        <v>6.9800848785280571</v>
      </c>
      <c r="O12" s="44">
        <f t="shared" si="2"/>
        <v>3.4474832445450878</v>
      </c>
      <c r="P12" s="34">
        <f t="shared" si="7"/>
        <v>24.063725664228013</v>
      </c>
      <c r="Q12" s="34">
        <f t="shared" si="8"/>
        <v>1.3960169757056116</v>
      </c>
      <c r="R12" s="34">
        <f t="shared" si="9"/>
        <v>25.459742639933623</v>
      </c>
      <c r="S12" s="34">
        <f>+'[8]Colector PAC II, III y IV'!$AA$33</f>
        <v>64.340174250027502</v>
      </c>
      <c r="T12" s="69">
        <f t="shared" si="10"/>
        <v>89.799916889961125</v>
      </c>
      <c r="V12" s="46">
        <f t="shared" si="11"/>
        <v>89.799916889961125</v>
      </c>
      <c r="W12" s="35">
        <f t="shared" si="12"/>
        <v>0</v>
      </c>
    </row>
    <row r="13" spans="1:23" x14ac:dyDescent="0.3">
      <c r="B13" s="2">
        <f t="shared" si="3"/>
        <v>2029</v>
      </c>
      <c r="C13" s="3">
        <f t="shared" si="4"/>
        <v>242.87074199596125</v>
      </c>
      <c r="D13" s="3">
        <f t="shared" si="0"/>
        <v>242.87074199596125</v>
      </c>
      <c r="E13" s="3">
        <f t="shared" si="5"/>
        <v>2.1803423323959659</v>
      </c>
      <c r="F13" s="3">
        <f t="shared" si="5"/>
        <v>376.6</v>
      </c>
      <c r="G13" s="3">
        <f>+'[9]Colector PAC II, III y IV'!$AB$33</f>
        <v>91.199388205831113</v>
      </c>
      <c r="H13" s="3">
        <f t="shared" si="1"/>
        <v>151.67135379013013</v>
      </c>
      <c r="L13" s="56">
        <f t="shared" si="6"/>
        <v>2029</v>
      </c>
      <c r="M13" s="9">
        <f>+'[9]Colector PAC II, III y IV'!$V$33</f>
        <v>2979.9834338275277</v>
      </c>
      <c r="N13" s="34">
        <f>+'[9]Colector PAC II, III y IV'!$U$33</f>
        <v>7.1114835205102329</v>
      </c>
      <c r="O13" s="44">
        <f t="shared" si="2"/>
        <v>3.4448755431075946</v>
      </c>
      <c r="P13" s="34">
        <f t="shared" si="7"/>
        <v>24.498175655018397</v>
      </c>
      <c r="Q13" s="34">
        <f t="shared" si="8"/>
        <v>1.4222967041020467</v>
      </c>
      <c r="R13" s="34">
        <f t="shared" si="9"/>
        <v>25.920472359120442</v>
      </c>
      <c r="S13" s="34">
        <f>+'[9]Colector PAC II, III y IV'!$AA$33</f>
        <v>65.278915846710674</v>
      </c>
      <c r="T13" s="69">
        <f t="shared" si="10"/>
        <v>91.199388205831113</v>
      </c>
      <c r="V13" s="46">
        <f t="shared" si="11"/>
        <v>91.199388205831113</v>
      </c>
      <c r="W13" s="35">
        <f t="shared" si="12"/>
        <v>0</v>
      </c>
    </row>
    <row r="14" spans="1:23" x14ac:dyDescent="0.3">
      <c r="B14" s="2">
        <f t="shared" si="3"/>
        <v>2030</v>
      </c>
      <c r="C14" s="3">
        <f t="shared" si="4"/>
        <v>242.87074199596125</v>
      </c>
      <c r="D14" s="3">
        <f t="shared" si="0"/>
        <v>242.87074199596125</v>
      </c>
      <c r="E14" s="3">
        <f t="shared" si="5"/>
        <v>2.1803423323959659</v>
      </c>
      <c r="F14" s="3">
        <f t="shared" si="5"/>
        <v>376.6</v>
      </c>
      <c r="G14" s="3">
        <f>+'[10]Colector PAC II, III y IV'!$AB$33</f>
        <v>92.615240672435007</v>
      </c>
      <c r="H14" s="3">
        <f t="shared" si="1"/>
        <v>150.25550132352623</v>
      </c>
      <c r="L14" s="56">
        <f t="shared" si="6"/>
        <v>2030</v>
      </c>
      <c r="M14" s="9">
        <f>+'[10]Colector PAC II, III y IV'!$V$33</f>
        <v>3001.1232221493501</v>
      </c>
      <c r="N14" s="34">
        <f>+'[10]Colector PAC II, III y IV'!$U$33</f>
        <v>7.2443779946720213</v>
      </c>
      <c r="O14" s="44">
        <f t="shared" si="2"/>
        <v>3.4422686831434226</v>
      </c>
      <c r="P14" s="34">
        <f t="shared" si="7"/>
        <v>24.937095499912846</v>
      </c>
      <c r="Q14" s="34">
        <f t="shared" si="8"/>
        <v>1.4488755989344044</v>
      </c>
      <c r="R14" s="34">
        <f t="shared" si="9"/>
        <v>26.38597109884725</v>
      </c>
      <c r="S14" s="34">
        <f>+'[10]Colector PAC II, III y IV'!$AA$33</f>
        <v>66.229269573587757</v>
      </c>
      <c r="T14" s="69">
        <f t="shared" si="10"/>
        <v>92.615240672435007</v>
      </c>
      <c r="V14" s="46">
        <f t="shared" si="11"/>
        <v>92.615240672435007</v>
      </c>
      <c r="W14" s="35">
        <f t="shared" si="12"/>
        <v>0</v>
      </c>
    </row>
    <row r="15" spans="1:23" x14ac:dyDescent="0.3">
      <c r="B15" s="2">
        <f t="shared" si="3"/>
        <v>2031</v>
      </c>
      <c r="C15" s="3">
        <f t="shared" si="4"/>
        <v>242.87074199596125</v>
      </c>
      <c r="D15" s="3">
        <f t="shared" si="0"/>
        <v>242.87074199596125</v>
      </c>
      <c r="E15" s="3">
        <f t="shared" si="5"/>
        <v>2.1803423323959659</v>
      </c>
      <c r="F15" s="3">
        <f t="shared" si="5"/>
        <v>376.6</v>
      </c>
      <c r="G15" s="3">
        <f>+'[11]Colector PAC II, III y IV'!$AB$33</f>
        <v>94.04482315493081</v>
      </c>
      <c r="H15" s="3">
        <f t="shared" si="1"/>
        <v>148.82591884103044</v>
      </c>
      <c r="L15" s="56">
        <f t="shared" si="6"/>
        <v>2031</v>
      </c>
      <c r="M15" s="9">
        <f>+'[11]Colector PAC II, III y IV'!$V$33</f>
        <v>3022.3757560088898</v>
      </c>
      <c r="N15" s="34">
        <f>+'[11]Colector PAC II, III y IV'!$U$33</f>
        <v>7.3785229498849301</v>
      </c>
      <c r="O15" s="44">
        <f t="shared" si="2"/>
        <v>3.4396627265939297</v>
      </c>
      <c r="P15" s="34">
        <f t="shared" si="7"/>
        <v>25.379630368037084</v>
      </c>
      <c r="Q15" s="34">
        <f t="shared" si="8"/>
        <v>1.4757045899769861</v>
      </c>
      <c r="R15" s="34">
        <f t="shared" si="9"/>
        <v>26.855334958014069</v>
      </c>
      <c r="S15" s="34">
        <f>+'[11]Colector PAC II, III y IV'!$AA$33</f>
        <v>67.189488196916741</v>
      </c>
      <c r="T15" s="69">
        <f t="shared" si="10"/>
        <v>94.04482315493081</v>
      </c>
      <c r="V15" s="46">
        <f t="shared" si="11"/>
        <v>94.04482315493081</v>
      </c>
      <c r="W15" s="35">
        <f t="shared" si="12"/>
        <v>0</v>
      </c>
    </row>
    <row r="16" spans="1:23" x14ac:dyDescent="0.3">
      <c r="B16" s="2">
        <f t="shared" si="3"/>
        <v>2032</v>
      </c>
      <c r="C16" s="3">
        <f t="shared" si="4"/>
        <v>242.87074199596125</v>
      </c>
      <c r="D16" s="3">
        <f t="shared" si="0"/>
        <v>242.87074199596125</v>
      </c>
      <c r="E16" s="3">
        <f t="shared" si="5"/>
        <v>2.1803423323959659</v>
      </c>
      <c r="F16" s="3">
        <f t="shared" si="5"/>
        <v>376.6</v>
      </c>
      <c r="G16" s="3">
        <f>+'[12]Colector PAC II, III y IV'!$AB$33</f>
        <v>95.493508147801023</v>
      </c>
      <c r="H16" s="3">
        <f t="shared" si="1"/>
        <v>147.37723384816024</v>
      </c>
      <c r="L16" s="56">
        <f t="shared" si="6"/>
        <v>2032</v>
      </c>
      <c r="M16" s="9">
        <f>+'[12]Colector PAC II, III y IV'!$V$33</f>
        <v>3043.7410354061444</v>
      </c>
      <c r="N16" s="34">
        <f>+'[12]Colector PAC II, III y IV'!$U$33</f>
        <v>7.5144201313907857</v>
      </c>
      <c r="O16" s="44">
        <f t="shared" si="2"/>
        <v>3.4370577343082469</v>
      </c>
      <c r="P16" s="34">
        <f t="shared" si="7"/>
        <v>25.827495831438291</v>
      </c>
      <c r="Q16" s="34">
        <f t="shared" si="8"/>
        <v>1.5028840262781573</v>
      </c>
      <c r="R16" s="34">
        <f t="shared" si="9"/>
        <v>27.330379857716448</v>
      </c>
      <c r="S16" s="34">
        <f>+'[12]Colector PAC II, III y IV'!$AA$33</f>
        <v>68.163128290084572</v>
      </c>
      <c r="T16" s="69">
        <f t="shared" si="10"/>
        <v>95.493508147801023</v>
      </c>
      <c r="V16" s="46">
        <f t="shared" si="11"/>
        <v>95.493508147801023</v>
      </c>
      <c r="W16" s="35">
        <f t="shared" si="12"/>
        <v>0</v>
      </c>
    </row>
    <row r="17" spans="2:23" x14ac:dyDescent="0.3">
      <c r="B17" s="2">
        <f t="shared" si="3"/>
        <v>2033</v>
      </c>
      <c r="C17" s="3">
        <f t="shared" si="4"/>
        <v>242.87074199596125</v>
      </c>
      <c r="D17" s="3">
        <f t="shared" si="0"/>
        <v>242.87074199596125</v>
      </c>
      <c r="E17" s="3">
        <f t="shared" si="5"/>
        <v>2.1803423323959659</v>
      </c>
      <c r="F17" s="3">
        <f t="shared" si="5"/>
        <v>376.6</v>
      </c>
      <c r="G17" s="3">
        <f>+'[13]Colector PAC II, III y IV'!$AB$33</f>
        <v>96.947699212154859</v>
      </c>
      <c r="H17" s="3">
        <f t="shared" si="1"/>
        <v>145.92304278380641</v>
      </c>
      <c r="L17" s="56">
        <f t="shared" si="6"/>
        <v>2033</v>
      </c>
      <c r="M17" s="9">
        <f>+'[13]Colector PAC II, III y IV'!$V$33</f>
        <v>3065.2378512640689</v>
      </c>
      <c r="N17" s="34">
        <f>+'[13]Colector PAC II, III y IV'!$U$33</f>
        <v>7.6508069501879721</v>
      </c>
      <c r="O17" s="44">
        <f t="shared" si="2"/>
        <v>3.4344514943048554</v>
      </c>
      <c r="P17" s="34">
        <f t="shared" si="7"/>
        <v>26.276325362711056</v>
      </c>
      <c r="Q17" s="34">
        <f t="shared" si="8"/>
        <v>1.5301613900375945</v>
      </c>
      <c r="R17" s="34">
        <f t="shared" si="9"/>
        <v>27.806486752748651</v>
      </c>
      <c r="S17" s="34">
        <f>+'[13]Colector PAC II, III y IV'!$AA$33</f>
        <v>69.141212459406205</v>
      </c>
      <c r="T17" s="69">
        <f t="shared" si="10"/>
        <v>96.947699212154859</v>
      </c>
      <c r="V17" s="46">
        <f t="shared" si="11"/>
        <v>96.947699212154859</v>
      </c>
      <c r="W17" s="35">
        <f t="shared" si="12"/>
        <v>0</v>
      </c>
    </row>
    <row r="18" spans="2:23" x14ac:dyDescent="0.3">
      <c r="B18" s="2">
        <f t="shared" si="3"/>
        <v>2034</v>
      </c>
      <c r="C18" s="3">
        <f t="shared" si="4"/>
        <v>242.87074199596125</v>
      </c>
      <c r="D18" s="3">
        <f t="shared" si="0"/>
        <v>242.87074199596125</v>
      </c>
      <c r="E18" s="3">
        <f t="shared" si="5"/>
        <v>2.1803423323959659</v>
      </c>
      <c r="F18" s="3">
        <f t="shared" si="5"/>
        <v>376.6</v>
      </c>
      <c r="G18" s="3">
        <f>+'[14]Colector PAC II, III y IV'!$AB$33</f>
        <v>98.418385507763787</v>
      </c>
      <c r="H18" s="3">
        <f t="shared" si="1"/>
        <v>144.45235648819747</v>
      </c>
      <c r="L18" s="56">
        <f t="shared" si="6"/>
        <v>2034</v>
      </c>
      <c r="M18" s="9">
        <f>+'[14]Colector PAC II, III y IV'!$V$33</f>
        <v>3086.8098308138046</v>
      </c>
      <c r="N18" s="34">
        <f>+'[14]Colector PAC II, III y IV'!$U$33</f>
        <v>7.7887050615419895</v>
      </c>
      <c r="O18" s="44">
        <f t="shared" si="2"/>
        <v>3.431850880557366</v>
      </c>
      <c r="P18" s="34">
        <f t="shared" si="7"/>
        <v>26.729674323854489</v>
      </c>
      <c r="Q18" s="34">
        <f t="shared" si="8"/>
        <v>1.5577410123083979</v>
      </c>
      <c r="R18" s="34">
        <f t="shared" si="9"/>
        <v>28.287415336162887</v>
      </c>
      <c r="S18" s="34">
        <f>+'[14]Colector PAC II, III y IV'!$AA$33</f>
        <v>70.130970171600893</v>
      </c>
      <c r="T18" s="69">
        <f t="shared" si="10"/>
        <v>98.418385507763787</v>
      </c>
      <c r="V18" s="46">
        <f t="shared" si="11"/>
        <v>98.418385507763787</v>
      </c>
      <c r="W18" s="35">
        <f t="shared" si="12"/>
        <v>0</v>
      </c>
    </row>
    <row r="19" spans="2:23" x14ac:dyDescent="0.3">
      <c r="B19" s="2">
        <f t="shared" si="3"/>
        <v>2035</v>
      </c>
      <c r="C19" s="3">
        <f t="shared" si="4"/>
        <v>242.87074199596125</v>
      </c>
      <c r="D19" s="3">
        <f t="shared" si="0"/>
        <v>242.87074199596125</v>
      </c>
      <c r="E19" s="3">
        <f t="shared" si="5"/>
        <v>2.1803423323959659</v>
      </c>
      <c r="F19" s="3">
        <f t="shared" si="5"/>
        <v>376.6</v>
      </c>
      <c r="G19" s="3">
        <f>+'[15]Colector PAC II, III y IV'!$AB$33</f>
        <v>99.902702731126197</v>
      </c>
      <c r="H19" s="3">
        <f t="shared" si="1"/>
        <v>142.96803926483506</v>
      </c>
      <c r="L19" s="56">
        <f t="shared" si="6"/>
        <v>2035</v>
      </c>
      <c r="M19" s="9">
        <f>+'[15]Colector PAC II, III y IV'!$V$33</f>
        <v>3108.5321377471619</v>
      </c>
      <c r="N19" s="34">
        <f>+'[15]Colector PAC II, III y IV'!$U$33</f>
        <v>7.9278536539471274</v>
      </c>
      <c r="O19" s="44">
        <f t="shared" si="2"/>
        <v>3.4292468892260555</v>
      </c>
      <c r="P19" s="34">
        <f t="shared" si="7"/>
        <v>27.186567481037603</v>
      </c>
      <c r="Q19" s="34">
        <f t="shared" si="8"/>
        <v>1.5855707307894256</v>
      </c>
      <c r="R19" s="34">
        <f t="shared" si="9"/>
        <v>28.772138211827027</v>
      </c>
      <c r="S19" s="34">
        <f>+'[15]Colector PAC II, III y IV'!$AA$33</f>
        <v>71.13056451929917</v>
      </c>
      <c r="T19" s="69">
        <f t="shared" si="10"/>
        <v>99.902702731126197</v>
      </c>
      <c r="V19" s="46">
        <f t="shared" si="11"/>
        <v>99.902702731126197</v>
      </c>
      <c r="W19" s="35">
        <f t="shared" si="12"/>
        <v>0</v>
      </c>
    </row>
    <row r="20" spans="2:23" x14ac:dyDescent="0.3">
      <c r="B20" s="2">
        <f t="shared" si="3"/>
        <v>2036</v>
      </c>
      <c r="C20" s="3">
        <f t="shared" si="4"/>
        <v>242.87074199596125</v>
      </c>
      <c r="D20" s="3">
        <f t="shared" si="0"/>
        <v>242.87074199596125</v>
      </c>
      <c r="E20" s="3">
        <f t="shared" si="5"/>
        <v>2.1803423323959659</v>
      </c>
      <c r="F20" s="3">
        <f t="shared" si="5"/>
        <v>376.6</v>
      </c>
      <c r="G20" s="3">
        <f>+'[16]Colector PAC II, III y IV'!$AB$33</f>
        <v>101.40630305869996</v>
      </c>
      <c r="H20" s="3">
        <f t="shared" si="1"/>
        <v>141.46443893726129</v>
      </c>
      <c r="L20" s="56">
        <f t="shared" si="6"/>
        <v>2036</v>
      </c>
      <c r="M20" s="9">
        <f>+'[16]Colector PAC II, III y IV'!$V$33</f>
        <v>3130.3483992952824</v>
      </c>
      <c r="N20" s="34">
        <f>+'[16]Colector PAC II, III y IV'!$U$33</f>
        <v>8.068776784973398</v>
      </c>
      <c r="O20" s="44">
        <f t="shared" si="2"/>
        <v>3.4266463538172194</v>
      </c>
      <c r="P20" s="34">
        <f t="shared" si="7"/>
        <v>27.64884454999412</v>
      </c>
      <c r="Q20" s="34">
        <f t="shared" si="8"/>
        <v>1.6137553569946796</v>
      </c>
      <c r="R20" s="34">
        <f t="shared" si="9"/>
        <v>29.2625999069888</v>
      </c>
      <c r="S20" s="34">
        <f>+'[16]Colector PAC II, III y IV'!$AA$33</f>
        <v>72.143703151711165</v>
      </c>
      <c r="T20" s="69">
        <f t="shared" si="10"/>
        <v>101.40630305869996</v>
      </c>
      <c r="V20" s="46">
        <f t="shared" si="11"/>
        <v>101.40630305869996</v>
      </c>
      <c r="W20" s="35">
        <f t="shared" si="12"/>
        <v>0</v>
      </c>
    </row>
    <row r="21" spans="2:23" ht="13.8" thickBot="1" x14ac:dyDescent="0.35">
      <c r="B21" s="2">
        <f t="shared" si="3"/>
        <v>2037</v>
      </c>
      <c r="C21" s="3">
        <f t="shared" si="4"/>
        <v>242.87074199596125</v>
      </c>
      <c r="D21" s="3">
        <f t="shared" si="0"/>
        <v>242.87074199596125</v>
      </c>
      <c r="E21" s="3">
        <f t="shared" si="5"/>
        <v>2.1803423323959659</v>
      </c>
      <c r="F21" s="3">
        <f t="shared" si="5"/>
        <v>376.6</v>
      </c>
      <c r="G21" s="3">
        <f>+'[17]Colector PAC II, III y IV'!$AB$33</f>
        <v>102.91491030009995</v>
      </c>
      <c r="H21" s="3">
        <f t="shared" si="1"/>
        <v>139.95583169586132</v>
      </c>
      <c r="I21" s="13">
        <f>+G21/G6-1</f>
        <v>0.26715468667199938</v>
      </c>
      <c r="L21" s="58">
        <f t="shared" si="6"/>
        <v>2037</v>
      </c>
      <c r="M21" s="59">
        <f>+'[17]Colector PAC II, III y IV'!$V$33</f>
        <v>3152.2961973040728</v>
      </c>
      <c r="N21" s="60">
        <f>+'[17]Colector PAC II, III y IV'!$U$33</f>
        <v>8.2101517805855977</v>
      </c>
      <c r="O21" s="61">
        <f t="shared" si="2"/>
        <v>3.4240448499405449</v>
      </c>
      <c r="P21" s="60">
        <f>+O21*N21</f>
        <v>28.111927921544311</v>
      </c>
      <c r="Q21" s="60">
        <f t="shared" si="8"/>
        <v>1.6420303561171197</v>
      </c>
      <c r="R21" s="60">
        <f t="shared" si="9"/>
        <v>29.753958277661429</v>
      </c>
      <c r="S21" s="60">
        <f>+'[17]Colector PAC II, III y IV'!$AA$33</f>
        <v>73.160952022438522</v>
      </c>
      <c r="T21" s="70">
        <f t="shared" si="10"/>
        <v>102.91491030009995</v>
      </c>
      <c r="V21" s="46">
        <f t="shared" si="11"/>
        <v>102.91491030009995</v>
      </c>
      <c r="W21" s="35">
        <f t="shared" si="12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1:W28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44</v>
      </c>
      <c r="E2" s="6" t="s">
        <v>7</v>
      </c>
      <c r="F2" s="7">
        <f>+'[17]Colector PAC II, III y IV'!$N$29</f>
        <v>72.800000000000011</v>
      </c>
      <c r="G2" s="8" t="s">
        <v>8</v>
      </c>
      <c r="I2" s="16" t="s">
        <v>65</v>
      </c>
      <c r="J2" s="17">
        <v>73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179</v>
      </c>
      <c r="Q3" s="12" t="s">
        <v>180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P.A. Cerda II'!B6</f>
        <v>2022</v>
      </c>
      <c r="C6" s="3">
        <f>+SUMPRODUCT('[17]Colector PAC II, III y IV'!$AL$28:$AL$29,'[17]Colector PAC II, III y IV'!$M$28:$M$29)/F2</f>
        <v>175.53343358178455</v>
      </c>
      <c r="D6" s="3">
        <f t="shared" ref="D6:D21" si="0">+C6</f>
        <v>175.53343358178455</v>
      </c>
      <c r="E6" s="3">
        <f>D6/(0.25*PI()*(F6/1000)^2)/1000</f>
        <v>2.0034431949825313</v>
      </c>
      <c r="F6" s="3">
        <f>+SUMPRODUCT('[17]Colector PAC II, III y IV'!$F$28:$F$29,'[17]Colector PAC II, III y IV'!$M$28:$M$29)/F2</f>
        <v>334</v>
      </c>
      <c r="G6" s="3">
        <f>+'[2]Colector PAC II, III y IV'!$AB$29</f>
        <v>73.964882458830047</v>
      </c>
      <c r="H6" s="3">
        <f t="shared" ref="H6:H21" si="1">+D6-G6</f>
        <v>101.5685511229545</v>
      </c>
      <c r="L6" s="56">
        <f>+B6</f>
        <v>2022</v>
      </c>
      <c r="M6" s="9">
        <f>+'[2]Colector PAC II, III y IV'!$V$29</f>
        <v>1691.8131794474348</v>
      </c>
      <c r="N6" s="34">
        <f>+'[2]Colector PAC II, III y IV'!$U$29</f>
        <v>3.9993715787044586</v>
      </c>
      <c r="O6" s="44">
        <f t="shared" ref="O6:O21" si="2">1+(14/(4+(SQRT(M6/1000))))</f>
        <v>3.6411620016792621</v>
      </c>
      <c r="P6" s="34">
        <f>+O6*N6</f>
        <v>14.562359822974678</v>
      </c>
      <c r="Q6" s="34">
        <f>+N6*$Q$4</f>
        <v>0.79987431574089174</v>
      </c>
      <c r="R6" s="34">
        <f>+Q6+P6</f>
        <v>15.36223413871557</v>
      </c>
      <c r="S6" s="34">
        <f>+'[2]Colector PAC II, III y IV'!$AA$29</f>
        <v>58.602648320114483</v>
      </c>
      <c r="T6" s="69">
        <f>+R6+S6</f>
        <v>73.964882458830047</v>
      </c>
      <c r="V6" s="46">
        <f>+G6</f>
        <v>73.964882458830047</v>
      </c>
      <c r="W6" s="35">
        <f>+V6-T6</f>
        <v>0</v>
      </c>
    </row>
    <row r="7" spans="1:23" x14ac:dyDescent="0.3">
      <c r="B7" s="2">
        <f t="shared" ref="B7:B21" si="3">+B6+1</f>
        <v>2023</v>
      </c>
      <c r="C7" s="3">
        <f t="shared" ref="C7:C21" si="4">+C6</f>
        <v>175.53343358178455</v>
      </c>
      <c r="D7" s="3">
        <f t="shared" si="0"/>
        <v>175.53343358178455</v>
      </c>
      <c r="E7" s="3">
        <f t="shared" ref="E7:F21" si="5">+E6</f>
        <v>2.0034431949825313</v>
      </c>
      <c r="F7" s="3">
        <f t="shared" si="5"/>
        <v>334</v>
      </c>
      <c r="G7" s="3">
        <f>+'[3]Colector PAC II, III y IV'!$AB$29</f>
        <v>75.510513401860251</v>
      </c>
      <c r="H7" s="3">
        <f t="shared" si="1"/>
        <v>100.0229201799243</v>
      </c>
      <c r="L7" s="56">
        <f t="shared" ref="L7:L21" si="6">+B7</f>
        <v>2023</v>
      </c>
      <c r="M7" s="9">
        <f>+'[3]Colector PAC II, III y IV'!$V$29</f>
        <v>1703.0216062121669</v>
      </c>
      <c r="N7" s="34">
        <f>+'[3]Colector PAC II, III y IV'!$U$29</f>
        <v>4.0972131596920018</v>
      </c>
      <c r="O7" s="44">
        <f t="shared" si="2"/>
        <v>3.6390204394957348</v>
      </c>
      <c r="P7" s="34">
        <f t="shared" ref="P7:P20" si="7">+O7*N7</f>
        <v>14.909842433090096</v>
      </c>
      <c r="Q7" s="34">
        <f t="shared" ref="Q7:Q21" si="8">+N7*$Q$4</f>
        <v>0.81944263193840039</v>
      </c>
      <c r="R7" s="34">
        <f t="shared" ref="R7:R21" si="9">+Q7+P7</f>
        <v>15.729285065028497</v>
      </c>
      <c r="S7" s="34">
        <f>+'[3]Colector PAC II, III y IV'!$AA$29</f>
        <v>59.781228336831752</v>
      </c>
      <c r="T7" s="69">
        <f t="shared" ref="T7:T21" si="10">+R7+S7</f>
        <v>75.510513401860251</v>
      </c>
      <c r="V7" s="46">
        <f t="shared" ref="V7:V21" si="11">+G7</f>
        <v>75.510513401860251</v>
      </c>
      <c r="W7" s="35">
        <f t="shared" ref="W7:W21" si="12">+V7-T7</f>
        <v>0</v>
      </c>
    </row>
    <row r="8" spans="1:23" x14ac:dyDescent="0.3">
      <c r="B8" s="2">
        <f t="shared" si="3"/>
        <v>2024</v>
      </c>
      <c r="C8" s="3">
        <f t="shared" si="4"/>
        <v>175.53343358178455</v>
      </c>
      <c r="D8" s="3">
        <f t="shared" si="0"/>
        <v>175.53343358178455</v>
      </c>
      <c r="E8" s="3">
        <f t="shared" si="5"/>
        <v>2.0034431949825313</v>
      </c>
      <c r="F8" s="3">
        <f t="shared" si="5"/>
        <v>334</v>
      </c>
      <c r="G8" s="3">
        <f>+'[4]Colector PAC II, III y IV'!$AB$29</f>
        <v>76.679772811212558</v>
      </c>
      <c r="H8" s="3">
        <f t="shared" si="1"/>
        <v>98.853660770571992</v>
      </c>
      <c r="L8" s="56">
        <f t="shared" si="6"/>
        <v>2024</v>
      </c>
      <c r="M8" s="9">
        <f>+'[4]Colector PAC II, III y IV'!$V$29</f>
        <v>1714.2814949914298</v>
      </c>
      <c r="N8" s="34">
        <f>+'[4]Colector PAC II, III y IV'!$U$29</f>
        <v>4.17119069013855</v>
      </c>
      <c r="O8" s="44">
        <f t="shared" si="2"/>
        <v>3.6368796056535904</v>
      </c>
      <c r="P8" s="34">
        <f t="shared" si="7"/>
        <v>15.170118352257017</v>
      </c>
      <c r="Q8" s="34">
        <f t="shared" si="8"/>
        <v>0.83423813802771007</v>
      </c>
      <c r="R8" s="34">
        <f t="shared" si="9"/>
        <v>16.004356490284728</v>
      </c>
      <c r="S8" s="34">
        <f>+'[4]Colector PAC II, III y IV'!$AA$29</f>
        <v>60.675416320927823</v>
      </c>
      <c r="T8" s="69">
        <f t="shared" si="10"/>
        <v>76.679772811212558</v>
      </c>
      <c r="V8" s="46">
        <f t="shared" si="11"/>
        <v>76.679772811212558</v>
      </c>
      <c r="W8" s="35">
        <f t="shared" si="12"/>
        <v>0</v>
      </c>
    </row>
    <row r="9" spans="1:23" x14ac:dyDescent="0.3">
      <c r="B9" s="2">
        <f t="shared" si="3"/>
        <v>2025</v>
      </c>
      <c r="C9" s="3">
        <f t="shared" si="4"/>
        <v>175.53343358178455</v>
      </c>
      <c r="D9" s="3">
        <f t="shared" si="0"/>
        <v>175.53343358178455</v>
      </c>
      <c r="E9" s="3">
        <f t="shared" si="5"/>
        <v>2.0034431949825313</v>
      </c>
      <c r="F9" s="3">
        <f t="shared" si="5"/>
        <v>334</v>
      </c>
      <c r="G9" s="3">
        <f>+'[5]Colector PAC II, III y IV'!$AB$29</f>
        <v>77.85508083310161</v>
      </c>
      <c r="H9" s="3">
        <f t="shared" si="1"/>
        <v>97.67835274868294</v>
      </c>
      <c r="L9" s="56">
        <f t="shared" si="6"/>
        <v>2025</v>
      </c>
      <c r="M9" s="9">
        <f>+'[5]Colector PAC II, III y IV'!$V$29</f>
        <v>1725.5825533823167</v>
      </c>
      <c r="N9" s="34">
        <f>+'[5]Colector PAC II, III y IV'!$U$29</f>
        <v>4.2455004604572304</v>
      </c>
      <c r="O9" s="44">
        <f t="shared" si="2"/>
        <v>3.6347414745012485</v>
      </c>
      <c r="P9" s="34">
        <f t="shared" si="7"/>
        <v>15.431296603638042</v>
      </c>
      <c r="Q9" s="34">
        <f t="shared" si="8"/>
        <v>0.8491000920914461</v>
      </c>
      <c r="R9" s="34">
        <f t="shared" si="9"/>
        <v>16.28039669572949</v>
      </c>
      <c r="S9" s="34">
        <f>+'[5]Colector PAC II, III y IV'!$AA$29</f>
        <v>61.574684137372117</v>
      </c>
      <c r="T9" s="69">
        <f t="shared" si="10"/>
        <v>77.85508083310161</v>
      </c>
      <c r="V9" s="46">
        <f t="shared" si="11"/>
        <v>77.85508083310161</v>
      </c>
      <c r="W9" s="35">
        <f t="shared" si="12"/>
        <v>0</v>
      </c>
    </row>
    <row r="10" spans="1:23" x14ac:dyDescent="0.3">
      <c r="B10" s="2">
        <f t="shared" si="3"/>
        <v>2026</v>
      </c>
      <c r="C10" s="3">
        <f t="shared" si="4"/>
        <v>175.53343358178455</v>
      </c>
      <c r="D10" s="3">
        <f t="shared" si="0"/>
        <v>175.53343358178455</v>
      </c>
      <c r="E10" s="3">
        <f t="shared" si="5"/>
        <v>2.0034431949825313</v>
      </c>
      <c r="F10" s="3">
        <f t="shared" si="5"/>
        <v>334</v>
      </c>
      <c r="G10" s="3">
        <f>+'[6]Colector PAC II, III y IV'!$AB$29</f>
        <v>79.044935624952345</v>
      </c>
      <c r="H10" s="3">
        <f t="shared" si="1"/>
        <v>96.488497956832205</v>
      </c>
      <c r="L10" s="56">
        <f t="shared" si="6"/>
        <v>2026</v>
      </c>
      <c r="M10" s="9">
        <f>+'[6]Colector PAC II, III y IV'!$V$29</f>
        <v>1736.9453661906402</v>
      </c>
      <c r="N10" s="34">
        <f>+'[6]Colector PAC II, III y IV'!$U$29</f>
        <v>4.3206804600601458</v>
      </c>
      <c r="O10" s="44">
        <f t="shared" si="2"/>
        <v>3.6326021828010844</v>
      </c>
      <c r="P10" s="34">
        <f t="shared" si="7"/>
        <v>15.695313270400479</v>
      </c>
      <c r="Q10" s="34">
        <f t="shared" si="8"/>
        <v>0.86413609201202923</v>
      </c>
      <c r="R10" s="34">
        <f t="shared" si="9"/>
        <v>16.559449362412508</v>
      </c>
      <c r="S10" s="34">
        <f>+'[6]Colector PAC II, III y IV'!$AA$29</f>
        <v>62.485486262539837</v>
      </c>
      <c r="T10" s="69">
        <f t="shared" si="10"/>
        <v>79.044935624952345</v>
      </c>
      <c r="V10" s="46">
        <f t="shared" si="11"/>
        <v>79.044935624952345</v>
      </c>
      <c r="W10" s="35">
        <f t="shared" si="12"/>
        <v>0</v>
      </c>
    </row>
    <row r="11" spans="1:23" x14ac:dyDescent="0.3">
      <c r="B11" s="2">
        <f t="shared" si="3"/>
        <v>2027</v>
      </c>
      <c r="C11" s="3">
        <f t="shared" si="4"/>
        <v>175.53343358178455</v>
      </c>
      <c r="D11" s="3">
        <f t="shared" si="0"/>
        <v>175.53343358178455</v>
      </c>
      <c r="E11" s="3">
        <f t="shared" si="5"/>
        <v>2.0034431949825313</v>
      </c>
      <c r="F11" s="3">
        <f t="shared" si="5"/>
        <v>334</v>
      </c>
      <c r="G11" s="3">
        <f>+'[7]Colector PAC II, III y IV'!$AB$29</f>
        <v>80.247185369828898</v>
      </c>
      <c r="H11" s="3">
        <f t="shared" si="1"/>
        <v>95.286248211955652</v>
      </c>
      <c r="L11" s="56">
        <f t="shared" si="6"/>
        <v>2027</v>
      </c>
      <c r="M11" s="9">
        <f>+'[7]Colector PAC II, III y IV'!$V$29</f>
        <v>1748.3596410134944</v>
      </c>
      <c r="N11" s="34">
        <f>+'[7]Colector PAC II, III y IV'!$U$29</f>
        <v>4.3965955487996604</v>
      </c>
      <c r="O11" s="44">
        <f t="shared" si="2"/>
        <v>3.6304637134474174</v>
      </c>
      <c r="P11" s="34">
        <f t="shared" si="7"/>
        <v>15.961680602621602</v>
      </c>
      <c r="Q11" s="34">
        <f t="shared" si="8"/>
        <v>0.8793191097599321</v>
      </c>
      <c r="R11" s="34">
        <f t="shared" si="9"/>
        <v>16.840999712381535</v>
      </c>
      <c r="S11" s="34">
        <f>+'[7]Colector PAC II, III y IV'!$AA$29</f>
        <v>63.406185657447367</v>
      </c>
      <c r="T11" s="69">
        <f t="shared" si="10"/>
        <v>80.247185369828898</v>
      </c>
      <c r="V11" s="46">
        <f t="shared" si="11"/>
        <v>80.247185369828898</v>
      </c>
      <c r="W11" s="35">
        <f t="shared" si="12"/>
        <v>0</v>
      </c>
    </row>
    <row r="12" spans="1:23" x14ac:dyDescent="0.3">
      <c r="B12" s="2">
        <f t="shared" si="3"/>
        <v>2028</v>
      </c>
      <c r="C12" s="3">
        <f t="shared" si="4"/>
        <v>175.53343358178455</v>
      </c>
      <c r="D12" s="3">
        <f t="shared" si="0"/>
        <v>175.53343358178455</v>
      </c>
      <c r="E12" s="3">
        <f t="shared" si="5"/>
        <v>2.0034431949825313</v>
      </c>
      <c r="F12" s="3">
        <f t="shared" si="5"/>
        <v>334</v>
      </c>
      <c r="G12" s="3">
        <f>+'[8]Colector PAC II, III y IV'!$AB$29</f>
        <v>81.466287985391133</v>
      </c>
      <c r="H12" s="3">
        <f t="shared" si="1"/>
        <v>94.067145596393416</v>
      </c>
      <c r="L12" s="56">
        <f t="shared" si="6"/>
        <v>2028</v>
      </c>
      <c r="M12" s="9">
        <f>+'[8]Colector PAC II, III y IV'!$V$29</f>
        <v>1759.8356702537851</v>
      </c>
      <c r="N12" s="34">
        <f>+'[8]Colector PAC II, III y IV'!$U$29</f>
        <v>4.4735275589564223</v>
      </c>
      <c r="O12" s="44">
        <f t="shared" si="2"/>
        <v>3.6283241825738948</v>
      </c>
      <c r="P12" s="34">
        <f t="shared" si="7"/>
        <v>16.231408223572352</v>
      </c>
      <c r="Q12" s="34">
        <f t="shared" si="8"/>
        <v>0.89470551179128455</v>
      </c>
      <c r="R12" s="34">
        <f t="shared" si="9"/>
        <v>17.126113735363635</v>
      </c>
      <c r="S12" s="34">
        <f>+'[8]Colector PAC II, III y IV'!$AA$29</f>
        <v>64.340174250027502</v>
      </c>
      <c r="T12" s="69">
        <f t="shared" si="10"/>
        <v>81.466287985391133</v>
      </c>
      <c r="V12" s="46">
        <f t="shared" si="11"/>
        <v>81.466287985391133</v>
      </c>
      <c r="W12" s="35">
        <f t="shared" si="12"/>
        <v>0</v>
      </c>
    </row>
    <row r="13" spans="1:23" x14ac:dyDescent="0.3">
      <c r="B13" s="2">
        <f t="shared" si="3"/>
        <v>2029</v>
      </c>
      <c r="C13" s="3">
        <f t="shared" si="4"/>
        <v>175.53343358178455</v>
      </c>
      <c r="D13" s="3">
        <f t="shared" si="0"/>
        <v>175.53343358178455</v>
      </c>
      <c r="E13" s="3">
        <f t="shared" si="5"/>
        <v>2.0034431949825313</v>
      </c>
      <c r="F13" s="3">
        <f t="shared" si="5"/>
        <v>334</v>
      </c>
      <c r="G13" s="3">
        <f>+'[9]Colector PAC II, III y IV'!$AB$29</f>
        <v>82.691013430184682</v>
      </c>
      <c r="H13" s="3">
        <f t="shared" si="1"/>
        <v>92.842420151599867</v>
      </c>
      <c r="L13" s="56">
        <f t="shared" si="6"/>
        <v>2029</v>
      </c>
      <c r="M13" s="9">
        <f>+'[9]Colector PAC II, III y IV'!$V$29</f>
        <v>1771.3528691056999</v>
      </c>
      <c r="N13" s="34">
        <f>+'[9]Colector PAC II, III y IV'!$U$29</f>
        <v>4.5507696044861969</v>
      </c>
      <c r="O13" s="44">
        <f t="shared" si="2"/>
        <v>3.6261874576794626</v>
      </c>
      <c r="P13" s="34">
        <f t="shared" si="7"/>
        <v>16.501943662576775</v>
      </c>
      <c r="Q13" s="34">
        <f t="shared" si="8"/>
        <v>0.91015392089723945</v>
      </c>
      <c r="R13" s="34">
        <f t="shared" si="9"/>
        <v>17.412097583474015</v>
      </c>
      <c r="S13" s="34">
        <f>+'[9]Colector PAC II, III y IV'!$AA$29</f>
        <v>65.278915846710674</v>
      </c>
      <c r="T13" s="69">
        <f t="shared" si="10"/>
        <v>82.691013430184682</v>
      </c>
      <c r="V13" s="46">
        <f t="shared" si="11"/>
        <v>82.691013430184682</v>
      </c>
      <c r="W13" s="35">
        <f t="shared" si="12"/>
        <v>0</v>
      </c>
    </row>
    <row r="14" spans="1:23" x14ac:dyDescent="0.3">
      <c r="B14" s="2">
        <f t="shared" si="3"/>
        <v>2030</v>
      </c>
      <c r="C14" s="3">
        <f t="shared" si="4"/>
        <v>175.53343358178455</v>
      </c>
      <c r="D14" s="3">
        <f t="shared" si="0"/>
        <v>175.53343358178455</v>
      </c>
      <c r="E14" s="3">
        <f t="shared" si="5"/>
        <v>2.0034431949825313</v>
      </c>
      <c r="F14" s="3">
        <f t="shared" si="5"/>
        <v>334</v>
      </c>
      <c r="G14" s="3">
        <f>+'[10]Colector PAC II, III y IV'!$AB$29</f>
        <v>83.93037891629632</v>
      </c>
      <c r="H14" s="3">
        <f t="shared" si="1"/>
        <v>91.60305466548823</v>
      </c>
      <c r="L14" s="56">
        <f t="shared" si="6"/>
        <v>2030</v>
      </c>
      <c r="M14" s="9">
        <f>+'[10]Colector PAC II, III y IV'!$V$29</f>
        <v>1782.9318223750515</v>
      </c>
      <c r="N14" s="34">
        <f>+'[10]Colector PAC II, III y IV'!$U$29</f>
        <v>4.6288909676069272</v>
      </c>
      <c r="O14" s="44">
        <f t="shared" si="2"/>
        <v>3.6240497489747097</v>
      </c>
      <c r="P14" s="34">
        <f t="shared" si="7"/>
        <v>16.775331149187185</v>
      </c>
      <c r="Q14" s="34">
        <f t="shared" si="8"/>
        <v>0.92577819352138546</v>
      </c>
      <c r="R14" s="34">
        <f t="shared" si="9"/>
        <v>17.70110934270857</v>
      </c>
      <c r="S14" s="34">
        <f>+'[10]Colector PAC II, III y IV'!$AA$29</f>
        <v>66.229269573587757</v>
      </c>
      <c r="T14" s="69">
        <f t="shared" si="10"/>
        <v>83.93037891629632</v>
      </c>
      <c r="V14" s="46">
        <f t="shared" si="11"/>
        <v>83.93037891629632</v>
      </c>
      <c r="W14" s="35">
        <f t="shared" si="12"/>
        <v>0</v>
      </c>
    </row>
    <row r="15" spans="1:23" x14ac:dyDescent="0.3">
      <c r="B15" s="2">
        <f t="shared" si="3"/>
        <v>2031</v>
      </c>
      <c r="C15" s="3">
        <f t="shared" si="4"/>
        <v>175.53343358178455</v>
      </c>
      <c r="D15" s="3">
        <f t="shared" si="0"/>
        <v>175.53343358178455</v>
      </c>
      <c r="E15" s="3">
        <f t="shared" si="5"/>
        <v>2.0034431949825313</v>
      </c>
      <c r="F15" s="3">
        <f t="shared" si="5"/>
        <v>334</v>
      </c>
      <c r="G15" s="3">
        <f>+'[11]Colector PAC II, III y IV'!$AB$29</f>
        <v>85.182080378083668</v>
      </c>
      <c r="H15" s="3">
        <f t="shared" si="1"/>
        <v>90.351353203700882</v>
      </c>
      <c r="L15" s="56">
        <f t="shared" si="6"/>
        <v>2031</v>
      </c>
      <c r="M15" s="9">
        <f>+'[11]Colector PAC II, III y IV'!$V$29</f>
        <v>1794.5725300618399</v>
      </c>
      <c r="N15" s="34">
        <f>+'[11]Colector PAC II, III y IV'!$U$29</f>
        <v>4.7077474198642557</v>
      </c>
      <c r="O15" s="44">
        <f t="shared" si="2"/>
        <v>3.6219111129980135</v>
      </c>
      <c r="P15" s="34">
        <f t="shared" si="7"/>
        <v>17.051042697194074</v>
      </c>
      <c r="Q15" s="34">
        <f t="shared" si="8"/>
        <v>0.94154948397285121</v>
      </c>
      <c r="R15" s="34">
        <f t="shared" si="9"/>
        <v>17.992592181166923</v>
      </c>
      <c r="S15" s="34">
        <f>+'[11]Colector PAC II, III y IV'!$AA$29</f>
        <v>67.189488196916741</v>
      </c>
      <c r="T15" s="69">
        <f t="shared" si="10"/>
        <v>85.182080378083668</v>
      </c>
      <c r="V15" s="46">
        <f t="shared" si="11"/>
        <v>85.182080378083668</v>
      </c>
      <c r="W15" s="35">
        <f t="shared" si="12"/>
        <v>0</v>
      </c>
    </row>
    <row r="16" spans="1:23" x14ac:dyDescent="0.3">
      <c r="B16" s="2">
        <f t="shared" si="3"/>
        <v>2032</v>
      </c>
      <c r="C16" s="3">
        <f t="shared" si="4"/>
        <v>175.53343358178455</v>
      </c>
      <c r="D16" s="3">
        <f t="shared" si="0"/>
        <v>175.53343358178455</v>
      </c>
      <c r="E16" s="3">
        <f t="shared" si="5"/>
        <v>2.0034431949825313</v>
      </c>
      <c r="F16" s="3">
        <f t="shared" si="5"/>
        <v>334</v>
      </c>
      <c r="G16" s="3">
        <f>+'[12]Colector PAC II, III y IV'!$AB$29</f>
        <v>86.450796356011438</v>
      </c>
      <c r="H16" s="3">
        <f t="shared" si="1"/>
        <v>89.082637225773112</v>
      </c>
      <c r="L16" s="56">
        <f t="shared" si="6"/>
        <v>2032</v>
      </c>
      <c r="M16" s="9">
        <f>+'[12]Colector PAC II, III y IV'!$V$29</f>
        <v>1806.2749921660641</v>
      </c>
      <c r="N16" s="34">
        <f>+'[12]Colector PAC II, III y IV'!$U$29</f>
        <v>4.7876339097312304</v>
      </c>
      <c r="O16" s="44">
        <f t="shared" si="2"/>
        <v>3.6197716055013713</v>
      </c>
      <c r="P16" s="34">
        <f t="shared" si="7"/>
        <v>17.330141283980623</v>
      </c>
      <c r="Q16" s="34">
        <f t="shared" si="8"/>
        <v>0.95752678194624607</v>
      </c>
      <c r="R16" s="34">
        <f t="shared" si="9"/>
        <v>18.287668065926869</v>
      </c>
      <c r="S16" s="34">
        <f>+'[12]Colector PAC II, III y IV'!$AA$29</f>
        <v>68.163128290084572</v>
      </c>
      <c r="T16" s="69">
        <f t="shared" si="10"/>
        <v>86.450796356011438</v>
      </c>
      <c r="V16" s="46">
        <f t="shared" si="11"/>
        <v>86.450796356011438</v>
      </c>
      <c r="W16" s="35">
        <f t="shared" si="12"/>
        <v>0</v>
      </c>
    </row>
    <row r="17" spans="2:23" x14ac:dyDescent="0.3">
      <c r="B17" s="2">
        <f t="shared" si="3"/>
        <v>2033</v>
      </c>
      <c r="C17" s="3">
        <f t="shared" si="4"/>
        <v>175.53343358178455</v>
      </c>
      <c r="D17" s="3">
        <f t="shared" si="0"/>
        <v>175.53343358178455</v>
      </c>
      <c r="E17" s="3">
        <f t="shared" si="5"/>
        <v>2.0034431949825313</v>
      </c>
      <c r="F17" s="3">
        <f t="shared" si="5"/>
        <v>334</v>
      </c>
      <c r="G17" s="3">
        <f>+'[13]Colector PAC II, III y IV'!$AB$29</f>
        <v>87.724700339213328</v>
      </c>
      <c r="H17" s="3">
        <f t="shared" si="1"/>
        <v>87.808733242571222</v>
      </c>
      <c r="L17" s="56">
        <f t="shared" si="6"/>
        <v>2033</v>
      </c>
      <c r="M17" s="9">
        <f>+'[13]Colector PAC II, III y IV'!$V$29</f>
        <v>1818.0495010906316</v>
      </c>
      <c r="N17" s="34">
        <f>+'[13]Colector PAC II, III y IV'!$U$29</f>
        <v>4.8678082304720984</v>
      </c>
      <c r="O17" s="44">
        <f t="shared" si="2"/>
        <v>3.6176294134752349</v>
      </c>
      <c r="P17" s="34">
        <f t="shared" si="7"/>
        <v>17.609926233712699</v>
      </c>
      <c r="Q17" s="34">
        <f t="shared" si="8"/>
        <v>0.97356164609441975</v>
      </c>
      <c r="R17" s="34">
        <f t="shared" si="9"/>
        <v>18.583487879807119</v>
      </c>
      <c r="S17" s="34">
        <f>+'[13]Colector PAC II, III y IV'!$AA$29</f>
        <v>69.141212459406205</v>
      </c>
      <c r="T17" s="69">
        <f t="shared" si="10"/>
        <v>87.724700339213328</v>
      </c>
      <c r="V17" s="46">
        <f t="shared" si="11"/>
        <v>87.724700339213328</v>
      </c>
      <c r="W17" s="35">
        <f t="shared" si="12"/>
        <v>0</v>
      </c>
    </row>
    <row r="18" spans="2:23" x14ac:dyDescent="0.3">
      <c r="B18" s="2">
        <f t="shared" si="3"/>
        <v>2034</v>
      </c>
      <c r="C18" s="3">
        <f t="shared" si="4"/>
        <v>175.53343358178455</v>
      </c>
      <c r="D18" s="3">
        <f t="shared" si="0"/>
        <v>175.53343358178455</v>
      </c>
      <c r="E18" s="3">
        <f t="shared" si="5"/>
        <v>2.0034431949825313</v>
      </c>
      <c r="F18" s="3">
        <f t="shared" si="5"/>
        <v>334</v>
      </c>
      <c r="G18" s="3">
        <f>+'[14]Colector PAC II, III y IV'!$AB$29</f>
        <v>89.013338785158382</v>
      </c>
      <c r="H18" s="3">
        <f t="shared" si="1"/>
        <v>86.520094796626168</v>
      </c>
      <c r="L18" s="56">
        <f t="shared" si="6"/>
        <v>2034</v>
      </c>
      <c r="M18" s="9">
        <f>+'[14]Colector PAC II, III y IV'!$V$29</f>
        <v>1829.8651796268232</v>
      </c>
      <c r="N18" s="34">
        <f>+'[14]Colector PAC II, III y IV'!$U$29</f>
        <v>4.9488709571106426</v>
      </c>
      <c r="O18" s="44">
        <f t="shared" si="2"/>
        <v>3.6154901950771023</v>
      </c>
      <c r="P18" s="34">
        <f t="shared" si="7"/>
        <v>17.892594422135364</v>
      </c>
      <c r="Q18" s="34">
        <f t="shared" si="8"/>
        <v>0.98977419142212852</v>
      </c>
      <c r="R18" s="34">
        <f t="shared" si="9"/>
        <v>18.882368613557492</v>
      </c>
      <c r="S18" s="34">
        <f>+'[14]Colector PAC II, III y IV'!$AA$29</f>
        <v>70.130970171600893</v>
      </c>
      <c r="T18" s="69">
        <f t="shared" si="10"/>
        <v>89.013338785158382</v>
      </c>
      <c r="V18" s="46">
        <f t="shared" si="11"/>
        <v>89.013338785158382</v>
      </c>
      <c r="W18" s="35">
        <f t="shared" si="12"/>
        <v>0</v>
      </c>
    </row>
    <row r="19" spans="2:23" x14ac:dyDescent="0.3">
      <c r="B19" s="2">
        <f t="shared" si="3"/>
        <v>2035</v>
      </c>
      <c r="C19" s="3">
        <f t="shared" si="4"/>
        <v>175.53343358178455</v>
      </c>
      <c r="D19" s="3">
        <f t="shared" si="0"/>
        <v>175.53343358178455</v>
      </c>
      <c r="E19" s="3">
        <f t="shared" si="5"/>
        <v>2.0034431949825313</v>
      </c>
      <c r="F19" s="3">
        <f t="shared" si="5"/>
        <v>334</v>
      </c>
      <c r="G19" s="3">
        <f>+'[15]Colector PAC II, III y IV'!$AB$29</f>
        <v>90.314247928321606</v>
      </c>
      <c r="H19" s="3">
        <f t="shared" si="1"/>
        <v>85.219185653462944</v>
      </c>
      <c r="L19" s="56">
        <f t="shared" si="6"/>
        <v>2035</v>
      </c>
      <c r="M19" s="9">
        <f>+'[15]Colector PAC II, III y IV'!$V$29</f>
        <v>1841.7631973862635</v>
      </c>
      <c r="N19" s="34">
        <f>+'[15]Colector PAC II, III y IV'!$U$29</f>
        <v>5.0306687728857842</v>
      </c>
      <c r="O19" s="44">
        <f t="shared" si="2"/>
        <v>3.6133465499494504</v>
      </c>
      <c r="P19" s="34">
        <f t="shared" si="7"/>
        <v>18.177549654445283</v>
      </c>
      <c r="Q19" s="34">
        <f t="shared" si="8"/>
        <v>1.0061337545771569</v>
      </c>
      <c r="R19" s="34">
        <f t="shared" si="9"/>
        <v>19.183683409022439</v>
      </c>
      <c r="S19" s="34">
        <f>+'[15]Colector PAC II, III y IV'!$AA$29</f>
        <v>71.13056451929917</v>
      </c>
      <c r="T19" s="69">
        <f t="shared" si="10"/>
        <v>90.314247928321606</v>
      </c>
      <c r="V19" s="46">
        <f t="shared" si="11"/>
        <v>90.314247928321606</v>
      </c>
      <c r="W19" s="35">
        <f t="shared" si="12"/>
        <v>0</v>
      </c>
    </row>
    <row r="20" spans="2:23" x14ac:dyDescent="0.3">
      <c r="B20" s="2">
        <f t="shared" si="3"/>
        <v>2036</v>
      </c>
      <c r="C20" s="3">
        <f t="shared" si="4"/>
        <v>175.53343358178455</v>
      </c>
      <c r="D20" s="3">
        <f t="shared" si="0"/>
        <v>175.53343358178455</v>
      </c>
      <c r="E20" s="3">
        <f t="shared" si="5"/>
        <v>2.0034431949825313</v>
      </c>
      <c r="F20" s="3">
        <f t="shared" si="5"/>
        <v>334</v>
      </c>
      <c r="G20" s="3">
        <f>+'[16]Colector PAC II, III y IV'!$AB$29</f>
        <v>91.632332485755896</v>
      </c>
      <c r="H20" s="3">
        <f t="shared" si="1"/>
        <v>83.901101096028654</v>
      </c>
      <c r="L20" s="56">
        <f t="shared" si="6"/>
        <v>2036</v>
      </c>
      <c r="M20" s="9">
        <f>+'[16]Colector PAC II, III y IV'!$V$29</f>
        <v>1853.7126771602341</v>
      </c>
      <c r="N20" s="34">
        <f>+'[16]Colector PAC II, III y IV'!$U$29</f>
        <v>5.1135097424629752</v>
      </c>
      <c r="O20" s="44">
        <f t="shared" si="2"/>
        <v>3.611204107466476</v>
      </c>
      <c r="P20" s="34">
        <f t="shared" si="7"/>
        <v>18.465927385552138</v>
      </c>
      <c r="Q20" s="34">
        <f t="shared" si="8"/>
        <v>1.022701948492595</v>
      </c>
      <c r="R20" s="34">
        <f t="shared" si="9"/>
        <v>19.488629334044735</v>
      </c>
      <c r="S20" s="34">
        <f>+'[16]Colector PAC II, III y IV'!$AA$29</f>
        <v>72.143703151711165</v>
      </c>
      <c r="T20" s="69">
        <f t="shared" si="10"/>
        <v>91.632332485755896</v>
      </c>
      <c r="V20" s="46">
        <f t="shared" si="11"/>
        <v>91.632332485755896</v>
      </c>
      <c r="W20" s="35">
        <f t="shared" si="12"/>
        <v>0</v>
      </c>
    </row>
    <row r="21" spans="2:23" ht="13.8" thickBot="1" x14ac:dyDescent="0.35">
      <c r="B21" s="2">
        <f t="shared" si="3"/>
        <v>2037</v>
      </c>
      <c r="C21" s="3">
        <f t="shared" si="4"/>
        <v>175.53343358178455</v>
      </c>
      <c r="D21" s="3">
        <f t="shared" si="0"/>
        <v>175.53343358178455</v>
      </c>
      <c r="E21" s="3">
        <f t="shared" si="5"/>
        <v>2.0034431949825313</v>
      </c>
      <c r="F21" s="3">
        <f t="shared" si="5"/>
        <v>334</v>
      </c>
      <c r="G21" s="3">
        <f>+'[17]Colector PAC II, III y IV'!$AB$29</f>
        <v>92.955171444719497</v>
      </c>
      <c r="H21" s="3">
        <f t="shared" si="1"/>
        <v>82.578262137065053</v>
      </c>
      <c r="I21" s="13">
        <f>+G21/G6-1</f>
        <v>0.25674736921889552</v>
      </c>
      <c r="L21" s="58">
        <f t="shared" si="6"/>
        <v>2037</v>
      </c>
      <c r="M21" s="59">
        <f>+'[17]Colector PAC II, III y IV'!$V$29</f>
        <v>1865.7342037545475</v>
      </c>
      <c r="N21" s="60">
        <f>+'[17]Colector PAC II, III y IV'!$U$29</f>
        <v>5.1966163384149375</v>
      </c>
      <c r="O21" s="61">
        <f t="shared" si="2"/>
        <v>3.6090592287824284</v>
      </c>
      <c r="P21" s="60">
        <f>+O21*N21</f>
        <v>18.754896154597983</v>
      </c>
      <c r="Q21" s="60">
        <f t="shared" si="8"/>
        <v>1.0393232676829876</v>
      </c>
      <c r="R21" s="60">
        <f t="shared" si="9"/>
        <v>19.794219422280971</v>
      </c>
      <c r="S21" s="60">
        <f>+'[17]Colector PAC II, III y IV'!$AA$29</f>
        <v>73.160952022438522</v>
      </c>
      <c r="T21" s="70">
        <f t="shared" si="10"/>
        <v>92.955171444719497</v>
      </c>
      <c r="V21" s="46">
        <f t="shared" si="11"/>
        <v>92.955171444719497</v>
      </c>
      <c r="W21" s="35">
        <f t="shared" si="12"/>
        <v>0</v>
      </c>
    </row>
    <row r="22" spans="2:23" x14ac:dyDescent="0.3">
      <c r="L22" s="9"/>
    </row>
    <row r="23" spans="2:23" x14ac:dyDescent="0.3">
      <c r="L23" s="9"/>
    </row>
    <row r="27" spans="2:23" x14ac:dyDescent="0.3">
      <c r="B27" s="102"/>
      <c r="C27" s="102"/>
      <c r="D27" s="102"/>
      <c r="E27" s="102"/>
      <c r="F27" s="102"/>
      <c r="G27" s="102"/>
      <c r="H27" s="102"/>
    </row>
    <row r="28" spans="2:23" x14ac:dyDescent="0.3">
      <c r="B28" s="102"/>
      <c r="C28" s="102"/>
      <c r="H28" s="102"/>
    </row>
  </sheetData>
  <mergeCells count="9">
    <mergeCell ref="B27:B28"/>
    <mergeCell ref="C27:C28"/>
    <mergeCell ref="D27:G27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43</v>
      </c>
      <c r="E2" s="6" t="s">
        <v>7</v>
      </c>
      <c r="F2" s="7">
        <f>+'[17]Colector PAC II, III y IV'!$N$25</f>
        <v>751.61</v>
      </c>
      <c r="G2" s="8" t="s">
        <v>8</v>
      </c>
      <c r="I2" s="16" t="s">
        <v>65</v>
      </c>
      <c r="J2" s="17">
        <v>752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117</v>
      </c>
      <c r="Q3" s="12" t="s">
        <v>178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119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España'!B6</f>
        <v>2022</v>
      </c>
      <c r="C6" s="3">
        <f>+SUMPRODUCT('[17]Colector PAC II, III y IV'!$AL$18:$AL$25,'[17]Colector PAC II, III y IV'!$M$18:$M$25)/F2</f>
        <v>115.45422356405757</v>
      </c>
      <c r="D6" s="3">
        <f t="shared" ref="D6:D21" si="0">+C6</f>
        <v>115.45422356405757</v>
      </c>
      <c r="E6" s="3">
        <f>D6/(0.25*PI()*(F6/1000)^2)/1000</f>
        <v>1.317731749511029</v>
      </c>
      <c r="F6" s="3">
        <f>+SUMPRODUCT('[17]Colector PAC II, III y IV'!$F$18:$F$25,'[17]Colector PAC II, III y IV'!$M$18:$M$25)/F2</f>
        <v>334</v>
      </c>
      <c r="G6" s="3">
        <f>+'[2]Colector PAC II, III y IV'!$AB$25</f>
        <v>59.88338011765272</v>
      </c>
      <c r="H6" s="3">
        <f t="shared" ref="H6:H21" si="1">+D6-G6</f>
        <v>55.570843446404851</v>
      </c>
      <c r="L6" s="56">
        <f>+B6</f>
        <v>2022</v>
      </c>
      <c r="M6" s="9">
        <f>+'[2]Colector PAC II, III y IV'!$V$25</f>
        <v>1239.4567143545378</v>
      </c>
      <c r="N6" s="34">
        <f>+'[2]Colector PAC II, III y IV'!$U$25</f>
        <v>2.695542094959293</v>
      </c>
      <c r="O6" s="44">
        <f t="shared" ref="O6:O15" si="2">1+(14/(4+(SQRT(M6/1000))))</f>
        <v>3.7379531071815766</v>
      </c>
      <c r="P6" s="34">
        <f>+O6*N6</f>
        <v>10.075809949391825</v>
      </c>
      <c r="Q6" s="34">
        <f>+N6*$Q$4</f>
        <v>0.53910841899185857</v>
      </c>
      <c r="R6" s="34">
        <f>+Q6+P6</f>
        <v>10.614918368383684</v>
      </c>
      <c r="S6" s="34">
        <f>+'[2]Colector PAC II, III y IV'!$AA$25</f>
        <v>49.268461749269036</v>
      </c>
      <c r="T6" s="69">
        <f>+R6+S6</f>
        <v>59.88338011765272</v>
      </c>
      <c r="V6" s="46">
        <f>+G6</f>
        <v>59.88338011765272</v>
      </c>
      <c r="W6" s="35">
        <f>+V6-T6</f>
        <v>0</v>
      </c>
    </row>
    <row r="7" spans="1:23" x14ac:dyDescent="0.3">
      <c r="B7" s="2">
        <f t="shared" ref="B7:B21" si="3">+B6+1</f>
        <v>2023</v>
      </c>
      <c r="C7" s="3">
        <f t="shared" ref="C7:C21" si="4">+C6</f>
        <v>115.45422356405757</v>
      </c>
      <c r="D7" s="3">
        <f t="shared" si="0"/>
        <v>115.45422356405757</v>
      </c>
      <c r="E7" s="3">
        <f t="shared" ref="E7:F21" si="5">+E6</f>
        <v>1.317731749511029</v>
      </c>
      <c r="F7" s="3">
        <f t="shared" si="5"/>
        <v>334</v>
      </c>
      <c r="G7" s="3">
        <f>+'[3]Colector PAC II, III y IV'!$AB$25</f>
        <v>61.081882601752014</v>
      </c>
      <c r="H7" s="3">
        <f t="shared" si="1"/>
        <v>54.372340962305557</v>
      </c>
      <c r="L7" s="56">
        <f t="shared" ref="L7:L21" si="6">+B7</f>
        <v>2023</v>
      </c>
      <c r="M7" s="9">
        <f>+'[3]Colector PAC II, III y IV'!$V$25</f>
        <v>1247.0022565556319</v>
      </c>
      <c r="N7" s="34">
        <f>+'[3]Colector PAC II, III y IV'!$U$25</f>
        <v>2.7522441077133295</v>
      </c>
      <c r="O7" s="44">
        <f t="shared" si="2"/>
        <v>3.7361425093774696</v>
      </c>
      <c r="P7" s="34">
        <f t="shared" ref="P7:P20" si="7">+O7*N7</f>
        <v>10.282776207011434</v>
      </c>
      <c r="Q7" s="34">
        <f t="shared" ref="Q7:Q21" si="8">+N7*$Q$4</f>
        <v>0.55044882154266594</v>
      </c>
      <c r="R7" s="34">
        <f t="shared" ref="R7:R21" si="9">+Q7+P7</f>
        <v>10.8332250285541</v>
      </c>
      <c r="S7" s="34">
        <f>+'[3]Colector PAC II, III y IV'!$AA$25</f>
        <v>50.248657573197917</v>
      </c>
      <c r="T7" s="69">
        <f t="shared" ref="T7:T21" si="10">+R7+S7</f>
        <v>61.081882601752014</v>
      </c>
      <c r="V7" s="46">
        <f t="shared" ref="V7:V21" si="11">+G7</f>
        <v>61.081882601752014</v>
      </c>
      <c r="W7" s="35">
        <f t="shared" ref="W7:W21" si="12">+V7-T7</f>
        <v>0</v>
      </c>
    </row>
    <row r="8" spans="1:23" x14ac:dyDescent="0.3">
      <c r="B8" s="2">
        <f t="shared" si="3"/>
        <v>2024</v>
      </c>
      <c r="C8" s="3">
        <f t="shared" si="4"/>
        <v>115.45422356405757</v>
      </c>
      <c r="D8" s="3">
        <f t="shared" si="0"/>
        <v>115.45422356405757</v>
      </c>
      <c r="E8" s="3">
        <f t="shared" si="5"/>
        <v>1.317731749511029</v>
      </c>
      <c r="F8" s="3">
        <f t="shared" si="5"/>
        <v>334</v>
      </c>
      <c r="G8" s="3">
        <f>+'[4]Colector PAC II, III y IV'!$AB$25</f>
        <v>61.9786045989134</v>
      </c>
      <c r="H8" s="3">
        <f t="shared" si="1"/>
        <v>53.475618965144172</v>
      </c>
      <c r="L8" s="56">
        <f t="shared" si="6"/>
        <v>2024</v>
      </c>
      <c r="M8" s="9">
        <f>+'[4]Colector PAC II, III y IV'!$V$25</f>
        <v>1254.5824431194494</v>
      </c>
      <c r="N8" s="34">
        <f>+'[4]Colector PAC II, III y IV'!$U$25</f>
        <v>2.7951162162029335</v>
      </c>
      <c r="O8" s="44">
        <f t="shared" si="2"/>
        <v>3.7343315044440804</v>
      </c>
      <c r="P8" s="34">
        <f t="shared" si="7"/>
        <v>10.437890544749147</v>
      </c>
      <c r="Q8" s="34">
        <f t="shared" si="8"/>
        <v>0.55902324324058672</v>
      </c>
      <c r="R8" s="34">
        <f t="shared" si="9"/>
        <v>10.996913787989733</v>
      </c>
      <c r="S8" s="34">
        <f>+'[4]Colector PAC II, III y IV'!$AA$25</f>
        <v>50.981690810923666</v>
      </c>
      <c r="T8" s="69">
        <f t="shared" si="10"/>
        <v>61.9786045989134</v>
      </c>
      <c r="V8" s="46">
        <f t="shared" si="11"/>
        <v>61.9786045989134</v>
      </c>
      <c r="W8" s="35">
        <f t="shared" si="12"/>
        <v>0</v>
      </c>
    </row>
    <row r="9" spans="1:23" x14ac:dyDescent="0.3">
      <c r="B9" s="2">
        <f t="shared" si="3"/>
        <v>2025</v>
      </c>
      <c r="C9" s="3">
        <f t="shared" si="4"/>
        <v>115.45422356405757</v>
      </c>
      <c r="D9" s="3">
        <f t="shared" si="0"/>
        <v>115.45422356405757</v>
      </c>
      <c r="E9" s="3">
        <f t="shared" si="5"/>
        <v>1.317731749511029</v>
      </c>
      <c r="F9" s="3">
        <f t="shared" si="5"/>
        <v>334</v>
      </c>
      <c r="G9" s="3">
        <f>+'[5]Colector PAC II, III y IV'!$AB$25</f>
        <v>62.878330053347256</v>
      </c>
      <c r="H9" s="3">
        <f t="shared" si="1"/>
        <v>52.575893510710316</v>
      </c>
      <c r="L9" s="56">
        <f t="shared" si="6"/>
        <v>2025</v>
      </c>
      <c r="M9" s="9">
        <f>+'[5]Colector PAC II, III y IV'!$V$25</f>
        <v>1262.1903451734452</v>
      </c>
      <c r="N9" s="34">
        <f>+'[5]Colector PAC II, III y IV'!$U$25</f>
        <v>2.8381808672626483</v>
      </c>
      <c r="O9" s="44">
        <f t="shared" si="2"/>
        <v>3.7325217686872731</v>
      </c>
      <c r="P9" s="34">
        <f t="shared" si="7"/>
        <v>10.593571870529559</v>
      </c>
      <c r="Q9" s="34">
        <f t="shared" si="8"/>
        <v>0.5676361734525297</v>
      </c>
      <c r="R9" s="34">
        <f t="shared" si="9"/>
        <v>11.161208043982088</v>
      </c>
      <c r="S9" s="34">
        <f>+'[5]Colector PAC II, III y IV'!$AA$25</f>
        <v>51.71712200936517</v>
      </c>
      <c r="T9" s="69">
        <f t="shared" si="10"/>
        <v>62.878330053347256</v>
      </c>
      <c r="V9" s="46">
        <f t="shared" si="11"/>
        <v>62.878330053347256</v>
      </c>
      <c r="W9" s="35">
        <f t="shared" si="12"/>
        <v>0</v>
      </c>
    </row>
    <row r="10" spans="1:23" x14ac:dyDescent="0.3">
      <c r="B10" s="2">
        <f t="shared" si="3"/>
        <v>2026</v>
      </c>
      <c r="C10" s="3">
        <f t="shared" si="4"/>
        <v>115.45422356405757</v>
      </c>
      <c r="D10" s="3">
        <f t="shared" si="0"/>
        <v>115.45422356405757</v>
      </c>
      <c r="E10" s="3">
        <f t="shared" si="5"/>
        <v>1.317731749511029</v>
      </c>
      <c r="F10" s="3">
        <f t="shared" si="5"/>
        <v>334</v>
      </c>
      <c r="G10" s="3">
        <f>+'[6]Colector PAC II, III y IV'!$AB$25</f>
        <v>63.787748456424062</v>
      </c>
      <c r="H10" s="3">
        <f t="shared" si="1"/>
        <v>51.666475107633509</v>
      </c>
      <c r="L10" s="56">
        <f t="shared" si="6"/>
        <v>2026</v>
      </c>
      <c r="M10" s="9">
        <f>+'[6]Colector PAC II, III y IV'!$V$25</f>
        <v>1269.8398204627088</v>
      </c>
      <c r="N10" s="34">
        <f>+'[6]Colector PAC II, III y IV'!$U$25</f>
        <v>2.8817498412439222</v>
      </c>
      <c r="O10" s="44">
        <f t="shared" si="2"/>
        <v>3.7307100369702124</v>
      </c>
      <c r="P10" s="34">
        <f t="shared" si="7"/>
        <v>10.750973056766016</v>
      </c>
      <c r="Q10" s="34">
        <f t="shared" si="8"/>
        <v>0.57634996824878448</v>
      </c>
      <c r="R10" s="34">
        <f t="shared" si="9"/>
        <v>11.327323025014801</v>
      </c>
      <c r="S10" s="34">
        <f>+'[6]Colector PAC II, III y IV'!$AA$25</f>
        <v>52.460425431409263</v>
      </c>
      <c r="T10" s="69">
        <f t="shared" si="10"/>
        <v>63.787748456424062</v>
      </c>
      <c r="V10" s="46">
        <f t="shared" si="11"/>
        <v>63.787748456424062</v>
      </c>
      <c r="W10" s="35">
        <f t="shared" si="12"/>
        <v>0</v>
      </c>
    </row>
    <row r="11" spans="1:23" x14ac:dyDescent="0.3">
      <c r="B11" s="2">
        <f t="shared" si="3"/>
        <v>2027</v>
      </c>
      <c r="C11" s="3">
        <f t="shared" si="4"/>
        <v>115.45422356405757</v>
      </c>
      <c r="D11" s="3">
        <f t="shared" si="0"/>
        <v>115.45422356405757</v>
      </c>
      <c r="E11" s="3">
        <f t="shared" si="5"/>
        <v>1.317731749511029</v>
      </c>
      <c r="F11" s="3">
        <f t="shared" si="5"/>
        <v>334</v>
      </c>
      <c r="G11" s="3">
        <f>+'[7]Colector PAC II, III y IV'!$AB$25</f>
        <v>64.705175770293849</v>
      </c>
      <c r="H11" s="3">
        <f t="shared" si="1"/>
        <v>50.749047793763722</v>
      </c>
      <c r="L11" s="56">
        <f t="shared" si="6"/>
        <v>2027</v>
      </c>
      <c r="M11" s="9">
        <f>+'[7]Colector PAC II, III y IV'!$V$25</f>
        <v>1277.5239401146955</v>
      </c>
      <c r="N11" s="34">
        <f>+'[7]Colector PAC II, III y IV'!$U$25</f>
        <v>2.9257448205409129</v>
      </c>
      <c r="O11" s="44">
        <f t="shared" si="2"/>
        <v>3.7288979919456708</v>
      </c>
      <c r="P11" s="34">
        <f t="shared" si="7"/>
        <v>10.909803986260457</v>
      </c>
      <c r="Q11" s="34">
        <f t="shared" si="8"/>
        <v>0.58514896410818262</v>
      </c>
      <c r="R11" s="34">
        <f t="shared" si="9"/>
        <v>11.494952950368639</v>
      </c>
      <c r="S11" s="34">
        <f>+'[7]Colector PAC II, III y IV'!$AA$25</f>
        <v>53.210222819925214</v>
      </c>
      <c r="T11" s="69">
        <f t="shared" si="10"/>
        <v>64.705175770293849</v>
      </c>
      <c r="V11" s="46">
        <f t="shared" si="11"/>
        <v>64.705175770293849</v>
      </c>
      <c r="W11" s="35">
        <f t="shared" si="12"/>
        <v>0</v>
      </c>
    </row>
    <row r="12" spans="1:23" x14ac:dyDescent="0.3">
      <c r="B12" s="2">
        <f t="shared" si="3"/>
        <v>2028</v>
      </c>
      <c r="C12" s="3">
        <f t="shared" si="4"/>
        <v>115.45422356405757</v>
      </c>
      <c r="D12" s="3">
        <f t="shared" si="0"/>
        <v>115.45422356405757</v>
      </c>
      <c r="E12" s="3">
        <f t="shared" si="5"/>
        <v>1.317731749511029</v>
      </c>
      <c r="F12" s="3">
        <f t="shared" si="5"/>
        <v>334</v>
      </c>
      <c r="G12" s="3">
        <f>+'[8]Colector PAC II, III y IV'!$AB$25</f>
        <v>65.634099259763573</v>
      </c>
      <c r="H12" s="3">
        <f t="shared" si="1"/>
        <v>49.820124304293998</v>
      </c>
      <c r="L12" s="56">
        <f t="shared" si="6"/>
        <v>2028</v>
      </c>
      <c r="M12" s="9">
        <f>+'[8]Colector PAC II, III y IV'!$V$25</f>
        <v>1285.2496330019501</v>
      </c>
      <c r="N12" s="34">
        <f>+'[8]Colector PAC II, III y IV'!$U$25</f>
        <v>2.9703291350733791</v>
      </c>
      <c r="O12" s="44">
        <f t="shared" si="2"/>
        <v>3.7270840407217873</v>
      </c>
      <c r="P12" s="34">
        <f t="shared" si="7"/>
        <v>11.070666315022942</v>
      </c>
      <c r="Q12" s="34">
        <f t="shared" si="8"/>
        <v>0.59406582701467581</v>
      </c>
      <c r="R12" s="34">
        <f t="shared" si="9"/>
        <v>11.664732142037618</v>
      </c>
      <c r="S12" s="34">
        <f>+'[8]Colector PAC II, III y IV'!$AA$25</f>
        <v>53.969367117725959</v>
      </c>
      <c r="T12" s="69">
        <f t="shared" si="10"/>
        <v>65.634099259763573</v>
      </c>
      <c r="V12" s="46">
        <f t="shared" si="11"/>
        <v>65.634099259763573</v>
      </c>
      <c r="W12" s="35">
        <f t="shared" si="12"/>
        <v>0</v>
      </c>
    </row>
    <row r="13" spans="1:23" x14ac:dyDescent="0.3">
      <c r="B13" s="2">
        <f t="shared" si="3"/>
        <v>2029</v>
      </c>
      <c r="C13" s="3">
        <f t="shared" si="4"/>
        <v>115.45422356405757</v>
      </c>
      <c r="D13" s="3">
        <f t="shared" si="0"/>
        <v>115.45422356405757</v>
      </c>
      <c r="E13" s="3">
        <f t="shared" si="5"/>
        <v>1.317731749511029</v>
      </c>
      <c r="F13" s="3">
        <f t="shared" si="5"/>
        <v>334</v>
      </c>
      <c r="G13" s="3">
        <f>+'[9]Colector PAC II, III y IV'!$AB$25</f>
        <v>66.565699641193802</v>
      </c>
      <c r="H13" s="3">
        <f t="shared" si="1"/>
        <v>48.888523922863769</v>
      </c>
      <c r="L13" s="56">
        <f t="shared" si="6"/>
        <v>2029</v>
      </c>
      <c r="M13" s="9">
        <f>+'[9]Colector PAC II, III y IV'!$V$25</f>
        <v>1293.0030413793829</v>
      </c>
      <c r="N13" s="34">
        <f>+'[9]Colector PAC II, III y IV'!$U$25</f>
        <v>3.0150931240295145</v>
      </c>
      <c r="O13" s="44">
        <f t="shared" si="2"/>
        <v>3.725271467042429</v>
      </c>
      <c r="P13" s="34">
        <f t="shared" si="7"/>
        <v>11.23204038542297</v>
      </c>
      <c r="Q13" s="34">
        <f t="shared" si="8"/>
        <v>0.60301862480590296</v>
      </c>
      <c r="R13" s="34">
        <f t="shared" si="9"/>
        <v>11.835059010228873</v>
      </c>
      <c r="S13" s="34">
        <f>+'[9]Colector PAC II, III y IV'!$AA$25</f>
        <v>54.730640630964935</v>
      </c>
      <c r="T13" s="69">
        <f t="shared" si="10"/>
        <v>66.565699641193802</v>
      </c>
      <c r="V13" s="46">
        <f t="shared" si="11"/>
        <v>66.565699641193802</v>
      </c>
      <c r="W13" s="35">
        <f t="shared" si="12"/>
        <v>0</v>
      </c>
    </row>
    <row r="14" spans="1:23" x14ac:dyDescent="0.3">
      <c r="B14" s="2">
        <f t="shared" si="3"/>
        <v>2030</v>
      </c>
      <c r="C14" s="3">
        <f t="shared" si="4"/>
        <v>115.45422356405757</v>
      </c>
      <c r="D14" s="3">
        <f t="shared" si="0"/>
        <v>115.45422356405757</v>
      </c>
      <c r="E14" s="3">
        <f t="shared" si="5"/>
        <v>1.317731749511029</v>
      </c>
      <c r="F14" s="3">
        <f t="shared" si="5"/>
        <v>334</v>
      </c>
      <c r="G14" s="3">
        <f>+'[10]Colector PAC II, III y IV'!$AB$25</f>
        <v>67.507038252272935</v>
      </c>
      <c r="H14" s="3">
        <f t="shared" si="1"/>
        <v>47.947185311784636</v>
      </c>
      <c r="L14" s="56">
        <f t="shared" si="6"/>
        <v>2030</v>
      </c>
      <c r="M14" s="9">
        <f>+'[10]Colector PAC II, III y IV'!$V$25</f>
        <v>1300.7980229920836</v>
      </c>
      <c r="N14" s="34">
        <f>+'[10]Colector PAC II, III y IV'!$U$25</f>
        <v>3.0603667028425789</v>
      </c>
      <c r="O14" s="44">
        <f t="shared" si="2"/>
        <v>3.7234570608414601</v>
      </c>
      <c r="P14" s="34">
        <f t="shared" si="7"/>
        <v>11.3951440084633</v>
      </c>
      <c r="Q14" s="34">
        <f t="shared" si="8"/>
        <v>0.61207334056851581</v>
      </c>
      <c r="R14" s="34">
        <f t="shared" si="9"/>
        <v>12.007217349031816</v>
      </c>
      <c r="S14" s="34">
        <f>+'[10]Colector PAC II, III y IV'!$AA$25</f>
        <v>55.499820903241122</v>
      </c>
      <c r="T14" s="69">
        <f t="shared" si="10"/>
        <v>67.507038252272935</v>
      </c>
      <c r="V14" s="46">
        <f t="shared" si="11"/>
        <v>67.507038252272935</v>
      </c>
      <c r="W14" s="35">
        <f t="shared" si="12"/>
        <v>0</v>
      </c>
    </row>
    <row r="15" spans="1:23" x14ac:dyDescent="0.3">
      <c r="B15" s="2">
        <f t="shared" si="3"/>
        <v>2031</v>
      </c>
      <c r="C15" s="3">
        <f t="shared" si="4"/>
        <v>115.45422356405757</v>
      </c>
      <c r="D15" s="3">
        <f t="shared" si="0"/>
        <v>115.45422356405757</v>
      </c>
      <c r="E15" s="3">
        <f t="shared" si="5"/>
        <v>1.317731749511029</v>
      </c>
      <c r="F15" s="3">
        <f t="shared" si="5"/>
        <v>334</v>
      </c>
      <c r="G15" s="3">
        <f>+'[11]Colector PAC II, III y IV'!$AB$25</f>
        <v>68.456289149589566</v>
      </c>
      <c r="H15" s="3">
        <f t="shared" si="1"/>
        <v>46.997934414468006</v>
      </c>
      <c r="L15" s="56">
        <f t="shared" si="6"/>
        <v>2031</v>
      </c>
      <c r="M15" s="9">
        <f>+'[11]Colector PAC II, III y IV'!$V$25</f>
        <v>1308.6345778400523</v>
      </c>
      <c r="N15" s="34">
        <f>+'[11]Colector PAC II, III y IV'!$U$25</f>
        <v>3.1060662869713598</v>
      </c>
      <c r="O15" s="44">
        <f t="shared" si="2"/>
        <v>3.7216408722535719</v>
      </c>
      <c r="P15" s="34">
        <f t="shared" si="7"/>
        <v>11.559663245521504</v>
      </c>
      <c r="Q15" s="34">
        <f t="shared" si="8"/>
        <v>0.62121325739427202</v>
      </c>
      <c r="R15" s="34">
        <f t="shared" si="9"/>
        <v>12.180876502915776</v>
      </c>
      <c r="S15" s="34">
        <f>+'[11]Colector PAC II, III y IV'!$AA$25</f>
        <v>56.275412646673793</v>
      </c>
      <c r="T15" s="69">
        <f t="shared" si="10"/>
        <v>68.456289149589566</v>
      </c>
      <c r="V15" s="46">
        <f t="shared" si="11"/>
        <v>68.456289149589566</v>
      </c>
      <c r="W15" s="35">
        <f t="shared" si="12"/>
        <v>0</v>
      </c>
    </row>
    <row r="16" spans="1:23" x14ac:dyDescent="0.3">
      <c r="B16" s="2">
        <f t="shared" si="3"/>
        <v>2032</v>
      </c>
      <c r="C16" s="3">
        <f t="shared" si="4"/>
        <v>115.45422356405757</v>
      </c>
      <c r="D16" s="3">
        <f t="shared" si="0"/>
        <v>115.45422356405757</v>
      </c>
      <c r="E16" s="3">
        <f t="shared" si="5"/>
        <v>1.317731749511029</v>
      </c>
      <c r="F16" s="3">
        <f t="shared" si="5"/>
        <v>334</v>
      </c>
      <c r="G16" s="3">
        <f>+'[12]Colector PAC II, III y IV'!$AB$25</f>
        <v>69.417126423349487</v>
      </c>
      <c r="H16" s="3">
        <f t="shared" si="1"/>
        <v>46.037097140708084</v>
      </c>
      <c r="L16" s="56">
        <f t="shared" si="6"/>
        <v>2032</v>
      </c>
      <c r="M16" s="9">
        <f>+'[12]Colector PAC II, III y IV'!$V$25</f>
        <v>1316.5127059232882</v>
      </c>
      <c r="N16" s="34">
        <f>+'[12]Colector PAC II, III y IV'!$U$25</f>
        <v>3.1523628075466879</v>
      </c>
      <c r="O16" s="44">
        <f t="shared" ref="O16:O21" si="13">1+(14/(4+(SQRT(M16/1000))))</f>
        <v>3.7198229508286413</v>
      </c>
      <c r="P16" s="34">
        <f t="shared" si="7"/>
        <v>11.726231520850781</v>
      </c>
      <c r="Q16" s="34">
        <f t="shared" si="8"/>
        <v>0.63047256150933761</v>
      </c>
      <c r="R16" s="34">
        <f t="shared" si="9"/>
        <v>12.356704082360119</v>
      </c>
      <c r="S16" s="34">
        <f>+'[12]Colector PAC II, III y IV'!$AA$25</f>
        <v>57.060422340989369</v>
      </c>
      <c r="T16" s="69">
        <f t="shared" si="10"/>
        <v>69.417126423349487</v>
      </c>
      <c r="V16" s="46">
        <f t="shared" si="11"/>
        <v>69.417126423349487</v>
      </c>
      <c r="W16" s="35">
        <f t="shared" si="12"/>
        <v>0</v>
      </c>
    </row>
    <row r="17" spans="2:23" x14ac:dyDescent="0.3">
      <c r="B17" s="2">
        <f t="shared" si="3"/>
        <v>2033</v>
      </c>
      <c r="C17" s="3">
        <f t="shared" si="4"/>
        <v>115.45422356405757</v>
      </c>
      <c r="D17" s="3">
        <f t="shared" si="0"/>
        <v>115.45422356405757</v>
      </c>
      <c r="E17" s="3">
        <f t="shared" si="5"/>
        <v>1.317731749511029</v>
      </c>
      <c r="F17" s="3">
        <f t="shared" si="5"/>
        <v>334</v>
      </c>
      <c r="G17" s="3">
        <f>+'[13]Colector PAC II, III y IV'!$AB$25</f>
        <v>70.38021062214446</v>
      </c>
      <c r="H17" s="3">
        <f t="shared" si="1"/>
        <v>45.074012941913111</v>
      </c>
      <c r="L17" s="56">
        <f t="shared" si="6"/>
        <v>2033</v>
      </c>
      <c r="M17" s="9">
        <f>+'[13]Colector PAC II, III y IV'!$V$25</f>
        <v>1324.4393361143368</v>
      </c>
      <c r="N17" s="34">
        <f>+'[13]Colector PAC II, III y IV'!$U$25</f>
        <v>3.1988261343992423</v>
      </c>
      <c r="O17" s="44">
        <f t="shared" si="13"/>
        <v>3.7180017570310211</v>
      </c>
      <c r="P17" s="34">
        <f t="shared" si="7"/>
        <v>11.893241188133132</v>
      </c>
      <c r="Q17" s="34">
        <f t="shared" si="8"/>
        <v>0.63976522687984849</v>
      </c>
      <c r="R17" s="34">
        <f t="shared" si="9"/>
        <v>12.533006415012981</v>
      </c>
      <c r="S17" s="34">
        <f>+'[13]Colector PAC II, III y IV'!$AA$25</f>
        <v>57.847204207131483</v>
      </c>
      <c r="T17" s="69">
        <f t="shared" si="10"/>
        <v>70.38021062214446</v>
      </c>
      <c r="V17" s="46">
        <f t="shared" si="11"/>
        <v>70.38021062214446</v>
      </c>
      <c r="W17" s="35">
        <f t="shared" si="12"/>
        <v>0</v>
      </c>
    </row>
    <row r="18" spans="2:23" x14ac:dyDescent="0.3">
      <c r="B18" s="2">
        <f t="shared" si="3"/>
        <v>2034</v>
      </c>
      <c r="C18" s="3">
        <f t="shared" si="4"/>
        <v>115.45422356405757</v>
      </c>
      <c r="D18" s="3">
        <f t="shared" si="0"/>
        <v>115.45422356405757</v>
      </c>
      <c r="E18" s="3">
        <f t="shared" si="5"/>
        <v>1.317731749511029</v>
      </c>
      <c r="F18" s="3">
        <f t="shared" si="5"/>
        <v>334</v>
      </c>
      <c r="G18" s="3">
        <f>+'[14]Colector PAC II, III y IV'!$AB$25</f>
        <v>71.353146158533534</v>
      </c>
      <c r="H18" s="3">
        <f t="shared" si="1"/>
        <v>44.101077405524038</v>
      </c>
      <c r="L18" s="56">
        <f t="shared" si="6"/>
        <v>2034</v>
      </c>
      <c r="M18" s="9">
        <f>+'[14]Colector PAC II, III y IV'!$V$25</f>
        <v>1332.3936817955639</v>
      </c>
      <c r="N18" s="34">
        <f>+'[14]Colector PAC II, III y IV'!$U$25</f>
        <v>3.245804318044097</v>
      </c>
      <c r="O18" s="44">
        <f t="shared" si="13"/>
        <v>3.7161821047733885</v>
      </c>
      <c r="P18" s="34">
        <f t="shared" si="7"/>
        <v>12.061999922311665</v>
      </c>
      <c r="Q18" s="34">
        <f t="shared" si="8"/>
        <v>0.64916086360881942</v>
      </c>
      <c r="R18" s="34">
        <f t="shared" si="9"/>
        <v>12.711160785920486</v>
      </c>
      <c r="S18" s="34">
        <f>+'[14]Colector PAC II, III y IV'!$AA$25</f>
        <v>58.64198537261305</v>
      </c>
      <c r="T18" s="69">
        <f t="shared" si="10"/>
        <v>71.353146158533534</v>
      </c>
      <c r="V18" s="46">
        <f t="shared" si="11"/>
        <v>71.353146158533534</v>
      </c>
      <c r="W18" s="35">
        <f t="shared" si="12"/>
        <v>0</v>
      </c>
    </row>
    <row r="19" spans="2:23" x14ac:dyDescent="0.3">
      <c r="B19" s="2">
        <f t="shared" si="3"/>
        <v>2035</v>
      </c>
      <c r="C19" s="3">
        <f t="shared" si="4"/>
        <v>115.45422356405757</v>
      </c>
      <c r="D19" s="3">
        <f t="shared" si="0"/>
        <v>115.45422356405757</v>
      </c>
      <c r="E19" s="3">
        <f t="shared" si="5"/>
        <v>1.317731749511029</v>
      </c>
      <c r="F19" s="3">
        <f t="shared" si="5"/>
        <v>334</v>
      </c>
      <c r="G19" s="3">
        <f>+'[15]Colector PAC II, III y IV'!$AB$25</f>
        <v>72.333857701915349</v>
      </c>
      <c r="H19" s="3">
        <f t="shared" si="1"/>
        <v>43.120365862142222</v>
      </c>
      <c r="L19" s="56">
        <f t="shared" si="6"/>
        <v>2035</v>
      </c>
      <c r="M19" s="9">
        <f>+'[15]Colector PAC II, III y IV'!$V$25</f>
        <v>1340.403458457148</v>
      </c>
      <c r="N19" s="34">
        <f>+'[15]Colector PAC II, III y IV'!$U$25</f>
        <v>3.2932085070046666</v>
      </c>
      <c r="O19" s="44">
        <f t="shared" si="13"/>
        <v>3.714357701577494</v>
      </c>
      <c r="P19" s="34">
        <f t="shared" si="7"/>
        <v>12.232154380893304</v>
      </c>
      <c r="Q19" s="34">
        <f t="shared" si="8"/>
        <v>0.65864170140093337</v>
      </c>
      <c r="R19" s="34">
        <f t="shared" si="9"/>
        <v>12.890796082294237</v>
      </c>
      <c r="S19" s="34">
        <f>+'[15]Colector PAC II, III y IV'!$AA$25</f>
        <v>59.443061619621105</v>
      </c>
      <c r="T19" s="69">
        <f t="shared" si="10"/>
        <v>72.333857701915349</v>
      </c>
      <c r="V19" s="46">
        <f t="shared" si="11"/>
        <v>72.333857701915349</v>
      </c>
      <c r="W19" s="35">
        <f t="shared" si="12"/>
        <v>0</v>
      </c>
    </row>
    <row r="20" spans="2:23" x14ac:dyDescent="0.3">
      <c r="B20" s="2">
        <f t="shared" si="3"/>
        <v>2036</v>
      </c>
      <c r="C20" s="3">
        <f t="shared" si="4"/>
        <v>115.45422356405757</v>
      </c>
      <c r="D20" s="3">
        <f t="shared" si="0"/>
        <v>115.45422356405757</v>
      </c>
      <c r="E20" s="3">
        <f t="shared" si="5"/>
        <v>1.317731749511029</v>
      </c>
      <c r="F20" s="3">
        <f t="shared" si="5"/>
        <v>334</v>
      </c>
      <c r="G20" s="3">
        <f>+'[16]Colector PAC II, III y IV'!$AB$25</f>
        <v>73.326279618013615</v>
      </c>
      <c r="H20" s="3">
        <f t="shared" si="1"/>
        <v>42.127943946043956</v>
      </c>
      <c r="L20" s="56">
        <f t="shared" si="6"/>
        <v>2036</v>
      </c>
      <c r="M20" s="9">
        <f>+'[16]Colector PAC II, III y IV'!$V$25</f>
        <v>1348.4478794814549</v>
      </c>
      <c r="N20" s="34">
        <f>+'[16]Colector PAC II, III y IV'!$U$25</f>
        <v>3.3412172336228596</v>
      </c>
      <c r="O20" s="44">
        <f t="shared" si="13"/>
        <v>3.7125333395979099</v>
      </c>
      <c r="P20" s="34">
        <f t="shared" si="7"/>
        <v>12.404380374663965</v>
      </c>
      <c r="Q20" s="34">
        <f t="shared" si="8"/>
        <v>0.66824344672457192</v>
      </c>
      <c r="R20" s="34">
        <f t="shared" si="9"/>
        <v>13.072623821388538</v>
      </c>
      <c r="S20" s="34">
        <f>+'[16]Colector PAC II, III y IV'!$AA$25</f>
        <v>60.253655796625083</v>
      </c>
      <c r="T20" s="69">
        <f t="shared" si="10"/>
        <v>73.326279618013615</v>
      </c>
      <c r="V20" s="46">
        <f t="shared" si="11"/>
        <v>73.326279618013615</v>
      </c>
      <c r="W20" s="35">
        <f t="shared" si="12"/>
        <v>0</v>
      </c>
    </row>
    <row r="21" spans="2:23" ht="13.8" thickBot="1" x14ac:dyDescent="0.35">
      <c r="B21" s="2">
        <f t="shared" si="3"/>
        <v>2037</v>
      </c>
      <c r="C21" s="3">
        <f t="shared" si="4"/>
        <v>115.45422356405757</v>
      </c>
      <c r="D21" s="3">
        <f t="shared" si="0"/>
        <v>115.45422356405757</v>
      </c>
      <c r="E21" s="3">
        <f t="shared" si="5"/>
        <v>1.317731749511029</v>
      </c>
      <c r="F21" s="3">
        <f t="shared" si="5"/>
        <v>334</v>
      </c>
      <c r="G21" s="3">
        <f>+'[17]Colector PAC II, III y IV'!$AB$25</f>
        <v>74.320619332786208</v>
      </c>
      <c r="H21" s="3">
        <f t="shared" si="1"/>
        <v>41.133604231271363</v>
      </c>
      <c r="I21" s="13">
        <f>+G21/G6-1</f>
        <v>0.24108925025221817</v>
      </c>
      <c r="L21" s="58">
        <f t="shared" si="6"/>
        <v>2037</v>
      </c>
      <c r="M21" s="59">
        <f>+'[17]Colector PAC II, III y IV'!$V$25</f>
        <v>1356.5408026135744</v>
      </c>
      <c r="N21" s="60">
        <f>+'[17]Colector PAC II, III y IV'!$U$25</f>
        <v>3.3893798983718342</v>
      </c>
      <c r="O21" s="61">
        <f t="shared" si="13"/>
        <v>3.7107059227224188</v>
      </c>
      <c r="P21" s="60">
        <f>+O21*N21</f>
        <v>12.576992063244676</v>
      </c>
      <c r="Q21" s="60">
        <f t="shared" si="8"/>
        <v>0.67787597967436686</v>
      </c>
      <c r="R21" s="60">
        <f t="shared" si="9"/>
        <v>13.254868042919043</v>
      </c>
      <c r="S21" s="60">
        <f>+'[17]Colector PAC II, III y IV'!$AA$25</f>
        <v>61.065751289867158</v>
      </c>
      <c r="T21" s="70">
        <f t="shared" si="10"/>
        <v>74.320619332786208</v>
      </c>
      <c r="V21" s="46">
        <f t="shared" si="11"/>
        <v>74.320619332786208</v>
      </c>
      <c r="W21" s="35">
        <f t="shared" si="12"/>
        <v>0</v>
      </c>
    </row>
    <row r="22" spans="2:23" x14ac:dyDescent="0.3">
      <c r="L22" s="43"/>
    </row>
    <row r="23" spans="2:23" x14ac:dyDescent="0.3">
      <c r="L23" s="43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33</v>
      </c>
      <c r="E2" s="6" t="s">
        <v>7</v>
      </c>
      <c r="F2" s="7">
        <f>+'[17]Colector España'!$N$29</f>
        <v>671.38300000000004</v>
      </c>
      <c r="G2" s="8" t="s">
        <v>8</v>
      </c>
      <c r="I2" s="16" t="s">
        <v>65</v>
      </c>
      <c r="J2" s="17">
        <v>672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168</v>
      </c>
      <c r="Q3" s="12" t="s">
        <v>169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P.A. Cerda I'!B6</f>
        <v>2022</v>
      </c>
      <c r="C6" s="3">
        <f>+SUMPRODUCT('[17]Colector España'!$AL$17:$AL$29,'[17]Colector España'!$M$17:$M$29)/F2</f>
        <v>38.310449565962578</v>
      </c>
      <c r="D6" s="3">
        <f t="shared" ref="D6:D21" si="0">+C6</f>
        <v>38.310449565962578</v>
      </c>
      <c r="E6" s="3">
        <f>D6/(0.25*PI()*(F6/1000)^2)/1000</f>
        <v>0.88026705865476007</v>
      </c>
      <c r="F6" s="3">
        <f>+SUMPRODUCT('[17]Colector España'!$F$17:$F$29,'[17]Colector España'!$M$17:$M$29)/F2</f>
        <v>235.40000000000003</v>
      </c>
      <c r="G6" s="3">
        <f>+'[2]Colector España'!$AB$29</f>
        <v>16.073611034798262</v>
      </c>
      <c r="H6" s="3">
        <f t="shared" ref="H6:H21" si="1">+D6-G6</f>
        <v>22.236838531164317</v>
      </c>
      <c r="L6" s="56">
        <f>+B6</f>
        <v>2022</v>
      </c>
      <c r="M6" s="9">
        <f>+'[2]Colector España'!$V$29</f>
        <v>452.35646509289705</v>
      </c>
      <c r="N6" s="34">
        <f>+'[2]Colector España'!$U$29</f>
        <v>1.3038294837451656</v>
      </c>
      <c r="O6" s="44"/>
      <c r="P6" s="34">
        <f>+'[2]Colector España'!$Y$29</f>
        <v>6.4786585672037837</v>
      </c>
      <c r="Q6" s="34">
        <f>+$Q$4*N6</f>
        <v>0.26076589674903311</v>
      </c>
      <c r="R6" s="34">
        <f>+Q6+P6</f>
        <v>6.7394244639528171</v>
      </c>
      <c r="S6" s="34">
        <f>+'[2]Colector España'!$AA$29</f>
        <v>9.3341865708454428</v>
      </c>
      <c r="T6" s="69">
        <f>+S6+R6</f>
        <v>16.073611034798262</v>
      </c>
      <c r="V6" s="46">
        <f>+G6</f>
        <v>16.073611034798262</v>
      </c>
      <c r="W6" s="46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38.310449565962578</v>
      </c>
      <c r="D7" s="3">
        <f t="shared" si="0"/>
        <v>38.310449565962578</v>
      </c>
      <c r="E7" s="3">
        <f t="shared" ref="E7:F21" si="4">+E6</f>
        <v>0.88026705865476007</v>
      </c>
      <c r="F7" s="3">
        <f t="shared" si="4"/>
        <v>235.40000000000003</v>
      </c>
      <c r="G7" s="3">
        <f>+'[3]Colector España'!$AB$29</f>
        <v>16.410956521986098</v>
      </c>
      <c r="H7" s="3">
        <f t="shared" si="1"/>
        <v>21.899493043976481</v>
      </c>
      <c r="L7" s="56">
        <f t="shared" ref="L7:L21" si="5">+B7</f>
        <v>2023</v>
      </c>
      <c r="M7" s="9">
        <f>+'[3]Colector España'!$V$29</f>
        <v>456.01934965653504</v>
      </c>
      <c r="N7" s="34">
        <f>+'[3]Colector España'!$U$29</f>
        <v>1.3449690519786719</v>
      </c>
      <c r="O7" s="44"/>
      <c r="P7" s="34">
        <f>+'[3]Colector España'!$Y$29</f>
        <v>6.609391947956528</v>
      </c>
      <c r="Q7" s="34">
        <f t="shared" ref="Q7:Q21" si="6">+$Q$4*N7</f>
        <v>0.26899381039573439</v>
      </c>
      <c r="R7" s="34">
        <f t="shared" ref="R7:R21" si="7">+Q7+P7</f>
        <v>6.8783857583522625</v>
      </c>
      <c r="S7" s="34">
        <f>+'[3]Colector España'!$AA$29</f>
        <v>9.532570763633835</v>
      </c>
      <c r="T7" s="69">
        <f t="shared" ref="T7:T21" si="8">+S7+R7</f>
        <v>16.410956521986098</v>
      </c>
      <c r="V7" s="46">
        <f t="shared" ref="V7:V21" si="9">+G7</f>
        <v>16.410956521986098</v>
      </c>
      <c r="W7" s="46">
        <f t="shared" ref="W7:W21" si="10">+T7-V7</f>
        <v>0</v>
      </c>
    </row>
    <row r="8" spans="1:23" x14ac:dyDescent="0.3">
      <c r="B8" s="2">
        <f t="shared" si="2"/>
        <v>2024</v>
      </c>
      <c r="C8" s="3">
        <f t="shared" si="3"/>
        <v>38.310449565962578</v>
      </c>
      <c r="D8" s="3">
        <f t="shared" si="0"/>
        <v>38.310449565962578</v>
      </c>
      <c r="E8" s="3">
        <f t="shared" si="4"/>
        <v>0.88026705865476007</v>
      </c>
      <c r="F8" s="3">
        <f t="shared" si="4"/>
        <v>235.40000000000003</v>
      </c>
      <c r="G8" s="3">
        <f>+'[4]Colector España'!$AB$29</f>
        <v>16.676346012368054</v>
      </c>
      <c r="H8" s="3">
        <f t="shared" si="1"/>
        <v>21.634103553594525</v>
      </c>
      <c r="L8" s="56">
        <f t="shared" si="5"/>
        <v>2024</v>
      </c>
      <c r="M8" s="9">
        <f>+'[4]Colector España'!$V$29</f>
        <v>459.69905187198037</v>
      </c>
      <c r="N8" s="34">
        <f>+'[4]Colector España'!$U$29</f>
        <v>1.3760744739356163</v>
      </c>
      <c r="O8" s="44"/>
      <c r="P8" s="34">
        <f>+'[4]Colector España'!$Y$29</f>
        <v>6.707405607576777</v>
      </c>
      <c r="Q8" s="34">
        <f t="shared" si="6"/>
        <v>0.2752148947871233</v>
      </c>
      <c r="R8" s="34">
        <f t="shared" si="7"/>
        <v>6.9826205023639005</v>
      </c>
      <c r="S8" s="34">
        <f>+'[4]Colector España'!$AA$29</f>
        <v>9.6937255100041533</v>
      </c>
      <c r="T8" s="69">
        <f t="shared" si="8"/>
        <v>16.676346012368054</v>
      </c>
      <c r="V8" s="46">
        <f t="shared" si="9"/>
        <v>16.676346012368054</v>
      </c>
      <c r="W8" s="46">
        <f t="shared" si="10"/>
        <v>0</v>
      </c>
    </row>
    <row r="9" spans="1:23" x14ac:dyDescent="0.3">
      <c r="B9" s="2">
        <f t="shared" si="2"/>
        <v>2025</v>
      </c>
      <c r="C9" s="3">
        <f t="shared" si="3"/>
        <v>38.310449565962578</v>
      </c>
      <c r="D9" s="3">
        <f t="shared" si="0"/>
        <v>38.310449565962578</v>
      </c>
      <c r="E9" s="3">
        <f t="shared" si="4"/>
        <v>0.88026705865476007</v>
      </c>
      <c r="F9" s="3">
        <f t="shared" si="4"/>
        <v>235.40000000000003</v>
      </c>
      <c r="G9" s="3">
        <f>+'[5]Colector España'!$AB$29</f>
        <v>16.945186702267772</v>
      </c>
      <c r="H9" s="3">
        <f t="shared" si="1"/>
        <v>21.365262863694806</v>
      </c>
      <c r="L9" s="56">
        <f t="shared" si="5"/>
        <v>2025</v>
      </c>
      <c r="M9" s="9">
        <f>+'[5]Colector España'!$V$29</f>
        <v>463.39220820887158</v>
      </c>
      <c r="N9" s="34">
        <f>+'[5]Colector España'!$U$29</f>
        <v>1.4073195931945823</v>
      </c>
      <c r="O9" s="44"/>
      <c r="P9" s="34">
        <f>+'[5]Colector España'!$Y$29</f>
        <v>6.8061606556219125</v>
      </c>
      <c r="Q9" s="34">
        <f t="shared" si="6"/>
        <v>0.28146391863891645</v>
      </c>
      <c r="R9" s="34">
        <f t="shared" si="7"/>
        <v>7.087624574260829</v>
      </c>
      <c r="S9" s="34">
        <f>+'[5]Colector España'!$AA$29</f>
        <v>9.8575621280069434</v>
      </c>
      <c r="T9" s="69">
        <f t="shared" si="8"/>
        <v>16.945186702267772</v>
      </c>
      <c r="V9" s="46">
        <f t="shared" si="9"/>
        <v>16.945186702267772</v>
      </c>
      <c r="W9" s="46">
        <f t="shared" si="10"/>
        <v>0</v>
      </c>
    </row>
    <row r="10" spans="1:23" x14ac:dyDescent="0.3">
      <c r="B10" s="2">
        <f t="shared" si="2"/>
        <v>2026</v>
      </c>
      <c r="C10" s="3">
        <f t="shared" si="3"/>
        <v>38.310449565962578</v>
      </c>
      <c r="D10" s="3">
        <f t="shared" si="0"/>
        <v>38.310449565962578</v>
      </c>
      <c r="E10" s="3">
        <f t="shared" si="4"/>
        <v>0.88026705865476007</v>
      </c>
      <c r="F10" s="3">
        <f t="shared" si="4"/>
        <v>235.40000000000003</v>
      </c>
      <c r="G10" s="3">
        <f>+'[6]Colector España'!$AB$29</f>
        <v>17.219243217863269</v>
      </c>
      <c r="H10" s="3">
        <f t="shared" si="1"/>
        <v>21.091206348099309</v>
      </c>
      <c r="L10" s="56">
        <f t="shared" si="5"/>
        <v>2026</v>
      </c>
      <c r="M10" s="9">
        <f>+'[6]Colector España'!$V$29</f>
        <v>467.10554572793154</v>
      </c>
      <c r="N10" s="34">
        <f>+'[6]Colector España'!$U$29</f>
        <v>1.4389306188162236</v>
      </c>
      <c r="O10" s="44"/>
      <c r="P10" s="34">
        <f>+'[6]Colector España'!$Y$29</f>
        <v>6.9063962629694498</v>
      </c>
      <c r="Q10" s="34">
        <f t="shared" si="6"/>
        <v>0.28778612376324475</v>
      </c>
      <c r="R10" s="34">
        <f t="shared" si="7"/>
        <v>7.1941823867326944</v>
      </c>
      <c r="S10" s="34">
        <f>+'[6]Colector España'!$AA$29</f>
        <v>10.025060831130574</v>
      </c>
      <c r="T10" s="69">
        <f t="shared" si="8"/>
        <v>17.219243217863269</v>
      </c>
      <c r="V10" s="46">
        <f t="shared" si="9"/>
        <v>17.219243217863269</v>
      </c>
      <c r="W10" s="46">
        <f t="shared" si="10"/>
        <v>0</v>
      </c>
    </row>
    <row r="11" spans="1:23" x14ac:dyDescent="0.3">
      <c r="B11" s="2">
        <f t="shared" si="2"/>
        <v>2027</v>
      </c>
      <c r="C11" s="3">
        <f t="shared" si="3"/>
        <v>38.310449565962578</v>
      </c>
      <c r="D11" s="3">
        <f t="shared" si="0"/>
        <v>38.310449565962578</v>
      </c>
      <c r="E11" s="3">
        <f t="shared" si="4"/>
        <v>0.88026705865476007</v>
      </c>
      <c r="F11" s="3">
        <f t="shared" si="4"/>
        <v>235.40000000000003</v>
      </c>
      <c r="G11" s="3">
        <f>+'[7]Colector España'!$AB$29</f>
        <v>17.498062459018236</v>
      </c>
      <c r="H11" s="3">
        <f t="shared" si="1"/>
        <v>20.812387106944342</v>
      </c>
      <c r="L11" s="56">
        <f t="shared" si="5"/>
        <v>2027</v>
      </c>
      <c r="M11" s="9">
        <f>+'[7]Colector España'!$V$29</f>
        <v>470.8357008987989</v>
      </c>
      <c r="N11" s="34">
        <f>+'[7]Colector España'!$U$29</f>
        <v>1.4708507282587473</v>
      </c>
      <c r="O11" s="44"/>
      <c r="P11" s="34">
        <f>+'[7]Colector España'!$Y$29</f>
        <v>7.00792947584433</v>
      </c>
      <c r="Q11" s="34">
        <f t="shared" si="6"/>
        <v>0.29417014565174948</v>
      </c>
      <c r="R11" s="34">
        <f t="shared" si="7"/>
        <v>7.3020996214960796</v>
      </c>
      <c r="S11" s="34">
        <f>+'[7]Colector España'!$AA$29</f>
        <v>10.195962837522156</v>
      </c>
      <c r="T11" s="69">
        <f t="shared" si="8"/>
        <v>17.498062459018236</v>
      </c>
      <c r="V11" s="46">
        <f t="shared" si="9"/>
        <v>17.498062459018236</v>
      </c>
      <c r="W11" s="46">
        <f t="shared" si="10"/>
        <v>0</v>
      </c>
    </row>
    <row r="12" spans="1:23" x14ac:dyDescent="0.3">
      <c r="B12" s="2">
        <f t="shared" si="2"/>
        <v>2028</v>
      </c>
      <c r="C12" s="3">
        <f t="shared" si="3"/>
        <v>38.310449565962578</v>
      </c>
      <c r="D12" s="3">
        <f t="shared" si="0"/>
        <v>38.310449565962578</v>
      </c>
      <c r="E12" s="3">
        <f t="shared" si="4"/>
        <v>0.88026705865476007</v>
      </c>
      <c r="F12" s="3">
        <f t="shared" si="4"/>
        <v>235.40000000000003</v>
      </c>
      <c r="G12" s="3">
        <f>+'[8]Colector España'!$AB$29</f>
        <v>17.782598586875075</v>
      </c>
      <c r="H12" s="3">
        <f t="shared" si="1"/>
        <v>20.527850979087503</v>
      </c>
      <c r="L12" s="56">
        <f t="shared" si="5"/>
        <v>2028</v>
      </c>
      <c r="M12" s="9">
        <f>+'[8]Colector España'!$V$29</f>
        <v>474.58603725183508</v>
      </c>
      <c r="N12" s="34">
        <f>+'[8]Colector España'!$U$29</f>
        <v>1.5031984238830431</v>
      </c>
      <c r="O12" s="44"/>
      <c r="P12" s="34">
        <f>+'[8]Colector España'!$Y$29</f>
        <v>7.1111517697969289</v>
      </c>
      <c r="Q12" s="34">
        <f t="shared" si="6"/>
        <v>0.30063968477660863</v>
      </c>
      <c r="R12" s="34">
        <f t="shared" si="7"/>
        <v>7.4117914545735371</v>
      </c>
      <c r="S12" s="34">
        <f>+'[8]Colector España'!$AA$29</f>
        <v>10.370807132301536</v>
      </c>
      <c r="T12" s="69">
        <f t="shared" si="8"/>
        <v>17.782598586875075</v>
      </c>
      <c r="V12" s="46">
        <f t="shared" si="9"/>
        <v>17.782598586875075</v>
      </c>
      <c r="W12" s="46">
        <f t="shared" si="10"/>
        <v>0</v>
      </c>
    </row>
    <row r="13" spans="1:23" x14ac:dyDescent="0.3">
      <c r="B13" s="2">
        <f t="shared" si="2"/>
        <v>2029</v>
      </c>
      <c r="C13" s="3">
        <f t="shared" si="3"/>
        <v>38.310449565962578</v>
      </c>
      <c r="D13" s="3">
        <f t="shared" si="0"/>
        <v>38.310449565962578</v>
      </c>
      <c r="E13" s="3">
        <f t="shared" si="4"/>
        <v>0.88026705865476007</v>
      </c>
      <c r="F13" s="3">
        <f t="shared" si="4"/>
        <v>235.40000000000003</v>
      </c>
      <c r="G13" s="3">
        <f>+'[9]Colector España'!$AB$29</f>
        <v>18.070492057774892</v>
      </c>
      <c r="H13" s="3">
        <f t="shared" si="1"/>
        <v>20.239957508187686</v>
      </c>
      <c r="L13" s="56">
        <f t="shared" si="5"/>
        <v>2029</v>
      </c>
      <c r="M13" s="9">
        <f>+'[9]Colector España'!$V$29</f>
        <v>478.34982772631707</v>
      </c>
      <c r="N13" s="34">
        <f>+'[9]Colector España'!$U$29</f>
        <v>1.5356764804566829</v>
      </c>
      <c r="O13" s="44"/>
      <c r="P13" s="34">
        <f>+'[9]Colector España'!$Y$29</f>
        <v>7.2150815459378137</v>
      </c>
      <c r="Q13" s="34">
        <f t="shared" si="6"/>
        <v>0.30713529609133661</v>
      </c>
      <c r="R13" s="34">
        <f t="shared" si="7"/>
        <v>7.5222168420291506</v>
      </c>
      <c r="S13" s="34">
        <f>+'[9]Colector España'!$AA$29</f>
        <v>10.54827521574574</v>
      </c>
      <c r="T13" s="69">
        <f t="shared" si="8"/>
        <v>18.070492057774892</v>
      </c>
      <c r="V13" s="46">
        <f t="shared" si="9"/>
        <v>18.070492057774892</v>
      </c>
      <c r="W13" s="46">
        <f t="shared" si="10"/>
        <v>0</v>
      </c>
    </row>
    <row r="14" spans="1:23" x14ac:dyDescent="0.3">
      <c r="B14" s="2">
        <f t="shared" si="2"/>
        <v>2030</v>
      </c>
      <c r="C14" s="3">
        <f t="shared" si="3"/>
        <v>38.310449565962578</v>
      </c>
      <c r="D14" s="3">
        <f t="shared" si="0"/>
        <v>38.310449565962578</v>
      </c>
      <c r="E14" s="3">
        <f t="shared" si="4"/>
        <v>0.88026705865476007</v>
      </c>
      <c r="F14" s="3">
        <f t="shared" si="4"/>
        <v>235.40000000000003</v>
      </c>
      <c r="G14" s="3">
        <f>+'[10]Colector España'!$AB$29</f>
        <v>18.363662199863946</v>
      </c>
      <c r="H14" s="3">
        <f t="shared" si="1"/>
        <v>19.946787366098633</v>
      </c>
      <c r="L14" s="56">
        <f t="shared" si="5"/>
        <v>2030</v>
      </c>
      <c r="M14" s="9">
        <f>+'[10]Colector España'!$V$29</f>
        <v>482.13379938296788</v>
      </c>
      <c r="N14" s="34">
        <f>+'[10]Colector España'!$U$29</f>
        <v>1.5685242647643485</v>
      </c>
      <c r="O14" s="44"/>
      <c r="P14" s="34">
        <f>+'[10]Colector España'!$Y$29</f>
        <v>7.3205086765644376</v>
      </c>
      <c r="Q14" s="34">
        <f t="shared" si="6"/>
        <v>0.31370485295286971</v>
      </c>
      <c r="R14" s="34">
        <f t="shared" si="7"/>
        <v>7.6342135295173073</v>
      </c>
      <c r="S14" s="34">
        <f>+'[10]Colector España'!$AA$29</f>
        <v>10.729448670346638</v>
      </c>
      <c r="T14" s="69">
        <f t="shared" si="8"/>
        <v>18.363662199863946</v>
      </c>
      <c r="V14" s="46">
        <f t="shared" si="9"/>
        <v>18.363662199863946</v>
      </c>
      <c r="W14" s="46">
        <f t="shared" si="10"/>
        <v>0</v>
      </c>
    </row>
    <row r="15" spans="1:23" x14ac:dyDescent="0.3">
      <c r="B15" s="2">
        <f t="shared" si="2"/>
        <v>2031</v>
      </c>
      <c r="C15" s="3">
        <f t="shared" si="3"/>
        <v>38.310449565962578</v>
      </c>
      <c r="D15" s="3">
        <f t="shared" si="0"/>
        <v>38.310449565962578</v>
      </c>
      <c r="E15" s="3">
        <f t="shared" si="4"/>
        <v>0.88026705865476007</v>
      </c>
      <c r="F15" s="3">
        <f t="shared" si="4"/>
        <v>235.40000000000003</v>
      </c>
      <c r="G15" s="3">
        <f>+'[11]Colector España'!$AB$29</f>
        <v>18.661643440014327</v>
      </c>
      <c r="H15" s="3">
        <f t="shared" si="1"/>
        <v>19.648806125948251</v>
      </c>
      <c r="L15" s="56">
        <f t="shared" si="5"/>
        <v>2031</v>
      </c>
      <c r="M15" s="9">
        <f>+'[11]Colector España'!$V$29</f>
        <v>485.9379522217875</v>
      </c>
      <c r="N15" s="34">
        <f>+'[11]Colector España'!$U$29</f>
        <v>1.6016811328928962</v>
      </c>
      <c r="O15" s="44"/>
      <c r="P15" s="34">
        <f>+'[11]Colector España'!$Y$29</f>
        <v>7.4272316631927984</v>
      </c>
      <c r="Q15" s="34">
        <f t="shared" si="6"/>
        <v>0.32033622657857924</v>
      </c>
      <c r="R15" s="34">
        <f t="shared" si="7"/>
        <v>7.7475678897713776</v>
      </c>
      <c r="S15" s="34">
        <f>+'[11]Colector España'!$AA$29</f>
        <v>10.91407555024295</v>
      </c>
      <c r="T15" s="69">
        <f t="shared" si="8"/>
        <v>18.661643440014327</v>
      </c>
      <c r="V15" s="46">
        <f t="shared" si="9"/>
        <v>18.661643440014327</v>
      </c>
      <c r="W15" s="46">
        <f t="shared" si="10"/>
        <v>0</v>
      </c>
    </row>
    <row r="16" spans="1:23" x14ac:dyDescent="0.3">
      <c r="B16" s="2">
        <f t="shared" si="2"/>
        <v>2032</v>
      </c>
      <c r="C16" s="3">
        <f t="shared" si="3"/>
        <v>38.310449565962578</v>
      </c>
      <c r="D16" s="3">
        <f t="shared" si="0"/>
        <v>38.310449565962578</v>
      </c>
      <c r="E16" s="3">
        <f t="shared" si="4"/>
        <v>0.88026705865476007</v>
      </c>
      <c r="F16" s="3">
        <f t="shared" si="4"/>
        <v>235.40000000000003</v>
      </c>
      <c r="G16" s="3">
        <f>+'[12]Colector España'!$AB$29</f>
        <v>18.965427953811464</v>
      </c>
      <c r="H16" s="3">
        <f t="shared" si="1"/>
        <v>19.345021612151115</v>
      </c>
      <c r="L16" s="56">
        <f t="shared" si="5"/>
        <v>2032</v>
      </c>
      <c r="M16" s="9">
        <f>+'[12]Colector España'!$V$29</f>
        <v>489.76228624277593</v>
      </c>
      <c r="N16" s="34">
        <f>+'[12]Colector España'!$U$29</f>
        <v>1.635271102184543</v>
      </c>
      <c r="O16" s="44"/>
      <c r="P16" s="34">
        <f>+'[12]Colector España'!$Y$29</f>
        <v>7.5356677842793474</v>
      </c>
      <c r="Q16" s="34">
        <f t="shared" si="6"/>
        <v>0.32705422043690863</v>
      </c>
      <c r="R16" s="34">
        <f t="shared" si="7"/>
        <v>7.8627220047162556</v>
      </c>
      <c r="S16" s="34">
        <f>+'[12]Colector España'!$AA$29</f>
        <v>11.102705949095206</v>
      </c>
      <c r="T16" s="69">
        <f t="shared" si="8"/>
        <v>18.965427953811464</v>
      </c>
      <c r="V16" s="46">
        <f t="shared" si="9"/>
        <v>18.965427953811464</v>
      </c>
      <c r="W16" s="46">
        <f t="shared" si="10"/>
        <v>0</v>
      </c>
    </row>
    <row r="17" spans="2:23" x14ac:dyDescent="0.3">
      <c r="B17" s="2">
        <f t="shared" si="2"/>
        <v>2033</v>
      </c>
      <c r="C17" s="3">
        <f t="shared" si="3"/>
        <v>38.310449565962578</v>
      </c>
      <c r="D17" s="3">
        <f t="shared" si="0"/>
        <v>38.310449565962578</v>
      </c>
      <c r="E17" s="3">
        <f t="shared" si="4"/>
        <v>0.88026705865476007</v>
      </c>
      <c r="F17" s="3">
        <f t="shared" si="4"/>
        <v>235.40000000000003</v>
      </c>
      <c r="G17" s="3">
        <f>+'[13]Colector España'!$AB$29</f>
        <v>19.272570300721693</v>
      </c>
      <c r="H17" s="3">
        <f t="shared" si="1"/>
        <v>19.037879265240885</v>
      </c>
      <c r="L17" s="56">
        <f t="shared" si="5"/>
        <v>2033</v>
      </c>
      <c r="M17" s="9">
        <f>+'[13]Colector España'!$V$29</f>
        <v>493.61016497629464</v>
      </c>
      <c r="N17" s="34">
        <f>+'[13]Colector España'!$U$29</f>
        <v>1.6689820960728563</v>
      </c>
      <c r="O17" s="44"/>
      <c r="P17" s="34">
        <f>+'[13]Colector España'!$Y$29</f>
        <v>7.6447656292324062</v>
      </c>
      <c r="Q17" s="34">
        <f t="shared" si="6"/>
        <v>0.33379641921457126</v>
      </c>
      <c r="R17" s="34">
        <f t="shared" si="7"/>
        <v>7.9785620484469773</v>
      </c>
      <c r="S17" s="34">
        <f>+'[13]Colector España'!$AA$29</f>
        <v>11.294008252274715</v>
      </c>
      <c r="T17" s="69">
        <f t="shared" si="8"/>
        <v>19.272570300721693</v>
      </c>
      <c r="V17" s="46">
        <f t="shared" si="9"/>
        <v>19.272570300721693</v>
      </c>
      <c r="W17" s="46">
        <f t="shared" si="10"/>
        <v>0</v>
      </c>
    </row>
    <row r="18" spans="2:23" x14ac:dyDescent="0.3">
      <c r="B18" s="2">
        <f t="shared" si="2"/>
        <v>2034</v>
      </c>
      <c r="C18" s="3">
        <f t="shared" si="3"/>
        <v>38.310449565962578</v>
      </c>
      <c r="D18" s="3">
        <f t="shared" si="0"/>
        <v>38.310449565962578</v>
      </c>
      <c r="E18" s="3">
        <f t="shared" si="4"/>
        <v>0.88026705865476007</v>
      </c>
      <c r="F18" s="3">
        <f t="shared" si="4"/>
        <v>235.40000000000003</v>
      </c>
      <c r="G18" s="3">
        <f>+'[14]Colector España'!$AB$29</f>
        <v>19.584983111628461</v>
      </c>
      <c r="H18" s="3">
        <f t="shared" si="1"/>
        <v>18.725466454334118</v>
      </c>
      <c r="L18" s="56">
        <f t="shared" si="5"/>
        <v>2034</v>
      </c>
      <c r="M18" s="9">
        <f>+'[14]Colector España'!$V$29</f>
        <v>497.47149783125923</v>
      </c>
      <c r="N18" s="34">
        <f>+'[14]Colector España'!$U$29</f>
        <v>1.7030666390665452</v>
      </c>
      <c r="O18" s="44"/>
      <c r="P18" s="34">
        <f>+'[14]Colector España'!$Y$29</f>
        <v>7.7553849848273</v>
      </c>
      <c r="Q18" s="34">
        <f t="shared" si="6"/>
        <v>0.34061332781330905</v>
      </c>
      <c r="R18" s="34">
        <f t="shared" si="7"/>
        <v>8.0959983126406083</v>
      </c>
      <c r="S18" s="34">
        <f>+'[14]Colector España'!$AA$29</f>
        <v>11.48898479898785</v>
      </c>
      <c r="T18" s="69">
        <f t="shared" si="8"/>
        <v>19.584983111628461</v>
      </c>
      <c r="V18" s="46">
        <f t="shared" si="9"/>
        <v>19.584983111628461</v>
      </c>
      <c r="W18" s="46">
        <f t="shared" si="10"/>
        <v>0</v>
      </c>
    </row>
    <row r="19" spans="2:23" x14ac:dyDescent="0.3">
      <c r="B19" s="2">
        <f t="shared" si="2"/>
        <v>2035</v>
      </c>
      <c r="C19" s="3">
        <f t="shared" si="3"/>
        <v>38.310449565962578</v>
      </c>
      <c r="D19" s="3">
        <f t="shared" si="0"/>
        <v>38.310449565962578</v>
      </c>
      <c r="E19" s="3">
        <f t="shared" si="4"/>
        <v>0.88026705865476007</v>
      </c>
      <c r="F19" s="3">
        <f t="shared" si="4"/>
        <v>235.40000000000003</v>
      </c>
      <c r="G19" s="3">
        <f>+'[15]Colector España'!$AB$29</f>
        <v>19.90228983884862</v>
      </c>
      <c r="H19" s="3">
        <f t="shared" si="1"/>
        <v>18.408159727113958</v>
      </c>
      <c r="L19" s="56">
        <f t="shared" si="5"/>
        <v>2035</v>
      </c>
      <c r="M19" s="9">
        <f>+'[15]Colector España'!$V$29</f>
        <v>501.35973892911551</v>
      </c>
      <c r="N19" s="34">
        <f>+'[15]Colector España'!$U$29</f>
        <v>1.7374602658811171</v>
      </c>
      <c r="O19" s="44"/>
      <c r="P19" s="34">
        <f>+'[15]Colector España'!$Y$29</f>
        <v>7.867294885994335</v>
      </c>
      <c r="Q19" s="34">
        <f t="shared" si="6"/>
        <v>0.34749205317622345</v>
      </c>
      <c r="R19" s="34">
        <f t="shared" si="7"/>
        <v>8.2147869391705584</v>
      </c>
      <c r="S19" s="34">
        <f>+'[15]Colector España'!$AA$29</f>
        <v>11.687502899678062</v>
      </c>
      <c r="T19" s="69">
        <f t="shared" si="8"/>
        <v>19.90228983884862</v>
      </c>
      <c r="V19" s="46">
        <f t="shared" si="9"/>
        <v>19.90228983884862</v>
      </c>
      <c r="W19" s="46">
        <f t="shared" si="10"/>
        <v>0</v>
      </c>
    </row>
    <row r="20" spans="2:23" x14ac:dyDescent="0.3">
      <c r="B20" s="2">
        <f t="shared" si="2"/>
        <v>2036</v>
      </c>
      <c r="C20" s="3">
        <f t="shared" si="3"/>
        <v>38.310449565962578</v>
      </c>
      <c r="D20" s="3">
        <f t="shared" si="0"/>
        <v>38.310449565962578</v>
      </c>
      <c r="E20" s="3">
        <f t="shared" si="4"/>
        <v>0.88026705865476007</v>
      </c>
      <c r="F20" s="3">
        <f t="shared" si="4"/>
        <v>235.40000000000003</v>
      </c>
      <c r="G20" s="3">
        <f>+'[16]Colector España'!$AB$29</f>
        <v>20.225451334725228</v>
      </c>
      <c r="H20" s="3">
        <f t="shared" si="1"/>
        <v>18.08499823123735</v>
      </c>
      <c r="L20" s="56">
        <f t="shared" si="5"/>
        <v>2036</v>
      </c>
      <c r="M20" s="9">
        <f>+'[16]Colector España'!$V$29</f>
        <v>505.26479767877919</v>
      </c>
      <c r="N20" s="34">
        <f>+'[16]Colector España'!$U$29</f>
        <v>1.772292508840116</v>
      </c>
      <c r="O20" s="44"/>
      <c r="P20" s="34">
        <f>+'[16]Colector España'!$Y$29</f>
        <v>7.9809454778711189</v>
      </c>
      <c r="Q20" s="34">
        <f t="shared" si="6"/>
        <v>0.35445850176802324</v>
      </c>
      <c r="R20" s="34">
        <f t="shared" si="7"/>
        <v>8.3354039796391426</v>
      </c>
      <c r="S20" s="34">
        <f>+'[16]Colector España'!$AA$29</f>
        <v>11.890047355086086</v>
      </c>
      <c r="T20" s="69">
        <f t="shared" si="8"/>
        <v>20.225451334725228</v>
      </c>
      <c r="V20" s="46">
        <f t="shared" si="9"/>
        <v>20.225451334725228</v>
      </c>
      <c r="W20" s="46">
        <f t="shared" si="10"/>
        <v>0</v>
      </c>
    </row>
    <row r="21" spans="2:23" ht="13.8" thickBot="1" x14ac:dyDescent="0.35">
      <c r="B21" s="2">
        <f t="shared" si="2"/>
        <v>2037</v>
      </c>
      <c r="C21" s="3">
        <f t="shared" si="3"/>
        <v>38.310449565962578</v>
      </c>
      <c r="D21" s="3">
        <f t="shared" si="0"/>
        <v>38.310449565962578</v>
      </c>
      <c r="E21" s="3">
        <f t="shared" si="4"/>
        <v>0.88026705865476007</v>
      </c>
      <c r="F21" s="3">
        <f t="shared" si="4"/>
        <v>235.40000000000003</v>
      </c>
      <c r="G21" s="3">
        <f>+'[17]Colector España'!$AB$29</f>
        <v>20.551871175462477</v>
      </c>
      <c r="H21" s="3">
        <f t="shared" si="1"/>
        <v>17.758578390500102</v>
      </c>
      <c r="I21" s="13">
        <f>+G21/G6-1</f>
        <v>0.27860946311125057</v>
      </c>
      <c r="L21" s="58">
        <f t="shared" si="5"/>
        <v>2037</v>
      </c>
      <c r="M21" s="59">
        <f>+'[17]Colector España'!$V$29</f>
        <v>509.19340114097309</v>
      </c>
      <c r="N21" s="60">
        <f>+'[17]Colector España'!$U$29</f>
        <v>1.8072364400431031</v>
      </c>
      <c r="O21" s="61"/>
      <c r="P21" s="60">
        <f>+'[17]Colector España'!$Y$29</f>
        <v>8.0952231548824951</v>
      </c>
      <c r="Q21" s="60">
        <f t="shared" si="6"/>
        <v>0.36144728800862064</v>
      </c>
      <c r="R21" s="60">
        <f t="shared" si="7"/>
        <v>8.4566704428911166</v>
      </c>
      <c r="S21" s="60">
        <f>+'[17]Colector España'!$AA$29</f>
        <v>12.09520073257136</v>
      </c>
      <c r="T21" s="70">
        <f t="shared" si="8"/>
        <v>20.551871175462477</v>
      </c>
      <c r="V21" s="46">
        <f t="shared" si="9"/>
        <v>20.551871175462477</v>
      </c>
      <c r="W21" s="46">
        <f t="shared" si="10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32</v>
      </c>
      <c r="E2" s="6" t="s">
        <v>7</v>
      </c>
      <c r="F2" s="7">
        <f>+SUM('[17]Colector PAC I'!$M$28:$M$33)</f>
        <v>447.65</v>
      </c>
      <c r="G2" s="8" t="s">
        <v>8</v>
      </c>
      <c r="I2" s="16" t="s">
        <v>65</v>
      </c>
      <c r="J2" s="17">
        <v>448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117</v>
      </c>
      <c r="Q3" s="12" t="s">
        <v>118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119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P.A. Cerda Norte'!B6</f>
        <v>2022</v>
      </c>
      <c r="C6" s="3">
        <f>+SUMPRODUCT('[17]Colector PAC I'!$AL$28:$AL$33,'[17]Colector PAC I'!$M$28:$M$33)/F2</f>
        <v>88.811416432918946</v>
      </c>
      <c r="D6" s="3">
        <f t="shared" ref="D6:D21" si="0">+C6</f>
        <v>88.811416432918946</v>
      </c>
      <c r="E6" s="3">
        <f>D6/(0.25*PI()*(F6/1000)^2)/1000</f>
        <v>1.0136452313307631</v>
      </c>
      <c r="F6" s="3">
        <f>+SUMPRODUCT('[17]Colector PAC I'!$F$28:$F$33,'[17]Colector PAC I'!$M$28:$M$33)/F2</f>
        <v>334.00000000000006</v>
      </c>
      <c r="G6" s="3">
        <f>+'[2]Colector PAC I'!$AB$33</f>
        <v>28.146438040839655</v>
      </c>
      <c r="H6" s="3">
        <f t="shared" ref="H6:H21" si="1">+D6-G6</f>
        <v>60.664978392079291</v>
      </c>
      <c r="L6" s="56">
        <f>+B6</f>
        <v>2022</v>
      </c>
      <c r="M6" s="9">
        <f>+'[2]Colector PAC I'!$V$33</f>
        <v>931.85431809136776</v>
      </c>
      <c r="N6" s="34">
        <f>+'[2]Colector PAC I'!$U$33</f>
        <v>1.7970474458260079</v>
      </c>
      <c r="O6" s="44"/>
      <c r="P6" s="34">
        <f>+'[2]Colector PAC I'!$Y$33</f>
        <v>7.0458760593547112</v>
      </c>
      <c r="Q6" s="34">
        <f>+N6*$Q$4</f>
        <v>0.3594094891652016</v>
      </c>
      <c r="R6" s="34">
        <f>+Q6+P6</f>
        <v>7.4052855485199132</v>
      </c>
      <c r="S6" s="35">
        <f>+'[2]Colector PAC I'!$AA$17</f>
        <v>20.741152492319742</v>
      </c>
      <c r="T6" s="69">
        <f>+R6+S6</f>
        <v>28.146438040839655</v>
      </c>
      <c r="V6" s="46">
        <f>+G6</f>
        <v>28.146438040839655</v>
      </c>
      <c r="W6" s="35">
        <f>+V6-T6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88.811416432918946</v>
      </c>
      <c r="D7" s="3">
        <f t="shared" si="0"/>
        <v>88.811416432918946</v>
      </c>
      <c r="E7" s="3">
        <f t="shared" ref="E7:F21" si="4">+E6</f>
        <v>1.0136452313307631</v>
      </c>
      <c r="F7" s="3">
        <f t="shared" si="4"/>
        <v>334.00000000000006</v>
      </c>
      <c r="G7" s="3">
        <f>+'[3]Colector PAC I'!$AB$33</f>
        <v>28.983042133941698</v>
      </c>
      <c r="H7" s="3">
        <f t="shared" si="1"/>
        <v>59.828374298977252</v>
      </c>
      <c r="L7" s="56">
        <f t="shared" ref="L7:L21" si="5">+B7</f>
        <v>2023</v>
      </c>
      <c r="M7" s="9">
        <f>+'[3]Colector PAC I'!$V$33</f>
        <v>939.39986029246199</v>
      </c>
      <c r="N7" s="34">
        <f>+'[3]Colector PAC I'!$U$33</f>
        <v>1.8537494585800445</v>
      </c>
      <c r="O7" s="44"/>
      <c r="P7" s="34">
        <f>+'[3]Colector PAC I'!$Y$33</f>
        <v>7.236157351889422</v>
      </c>
      <c r="Q7" s="34">
        <f t="shared" ref="Q7:Q21" si="6">+N7*$Q$4</f>
        <v>0.37074989171600892</v>
      </c>
      <c r="R7" s="34">
        <f t="shared" ref="R7:R21" si="7">+Q7+P7</f>
        <v>7.6069072436054306</v>
      </c>
      <c r="S7" s="35">
        <f>+'[3]Colector PAC I'!$AA$17</f>
        <v>21.376134890336267</v>
      </c>
      <c r="T7" s="69">
        <f t="shared" ref="T7:T21" si="8">+R7+S7</f>
        <v>28.983042133941698</v>
      </c>
      <c r="V7" s="46">
        <f t="shared" ref="V7:V21" si="9">+G7</f>
        <v>28.983042133941698</v>
      </c>
      <c r="W7" s="35">
        <f t="shared" ref="W7:W21" si="10">+V7-T7</f>
        <v>0</v>
      </c>
    </row>
    <row r="8" spans="1:23" x14ac:dyDescent="0.3">
      <c r="B8" s="2">
        <f t="shared" si="2"/>
        <v>2024</v>
      </c>
      <c r="C8" s="3">
        <f t="shared" si="3"/>
        <v>88.811416432918946</v>
      </c>
      <c r="D8" s="3">
        <f t="shared" si="0"/>
        <v>88.811416432918946</v>
      </c>
      <c r="E8" s="3">
        <f t="shared" si="4"/>
        <v>1.0136452313307631</v>
      </c>
      <c r="F8" s="3">
        <f t="shared" si="4"/>
        <v>334.00000000000006</v>
      </c>
      <c r="G8" s="3">
        <f>+'[4]Colector PAC I'!$AB$33</f>
        <v>29.604370024502487</v>
      </c>
      <c r="H8" s="3">
        <f t="shared" si="1"/>
        <v>59.20704640841646</v>
      </c>
      <c r="L8" s="56">
        <f t="shared" si="5"/>
        <v>2024</v>
      </c>
      <c r="M8" s="9">
        <f>+'[4]Colector PAC I'!$V$33</f>
        <v>946.98004685627939</v>
      </c>
      <c r="N8" s="34">
        <f>+'[4]Colector PAC I'!$U$33</f>
        <v>1.8966215670696482</v>
      </c>
      <c r="O8" s="44"/>
      <c r="P8" s="34">
        <f>+'[4]Colector PAC I'!$Y$33</f>
        <v>7.3744064464731531</v>
      </c>
      <c r="Q8" s="34">
        <f t="shared" si="6"/>
        <v>0.37932431341392969</v>
      </c>
      <c r="R8" s="34">
        <f t="shared" si="7"/>
        <v>7.753730759887083</v>
      </c>
      <c r="S8" s="35">
        <f>+'[4]Colector PAC I'!$AA$17</f>
        <v>21.850639264615403</v>
      </c>
      <c r="T8" s="69">
        <f t="shared" si="8"/>
        <v>29.604370024502487</v>
      </c>
      <c r="V8" s="46">
        <f t="shared" si="9"/>
        <v>29.604370024502487</v>
      </c>
      <c r="W8" s="35">
        <f t="shared" si="10"/>
        <v>0</v>
      </c>
    </row>
    <row r="9" spans="1:23" x14ac:dyDescent="0.3">
      <c r="B9" s="2">
        <f t="shared" si="2"/>
        <v>2025</v>
      </c>
      <c r="C9" s="3">
        <f t="shared" si="3"/>
        <v>88.811416432918946</v>
      </c>
      <c r="D9" s="3">
        <f t="shared" si="0"/>
        <v>88.811416432918946</v>
      </c>
      <c r="E9" s="3">
        <f t="shared" si="4"/>
        <v>1.0136452313307631</v>
      </c>
      <c r="F9" s="3">
        <f t="shared" si="4"/>
        <v>334.00000000000006</v>
      </c>
      <c r="G9" s="3">
        <f>+'[5]Colector PAC I'!$AB$33</f>
        <v>30.227957418946673</v>
      </c>
      <c r="H9" s="3">
        <f t="shared" si="1"/>
        <v>58.583459013972274</v>
      </c>
      <c r="L9" s="56">
        <f t="shared" si="5"/>
        <v>2025</v>
      </c>
      <c r="M9" s="9">
        <f>+'[5]Colector PAC I'!$V$33</f>
        <v>954.58794891027526</v>
      </c>
      <c r="N9" s="34">
        <f>+'[5]Colector PAC I'!$U$33</f>
        <v>1.9396862181293633</v>
      </c>
      <c r="O9" s="44"/>
      <c r="P9" s="34">
        <f>+'[5]Colector PAC I'!$Y$33</f>
        <v>7.5134950447532169</v>
      </c>
      <c r="Q9" s="34">
        <f t="shared" si="6"/>
        <v>0.38793724362587267</v>
      </c>
      <c r="R9" s="34">
        <f t="shared" si="7"/>
        <v>7.9014322883790893</v>
      </c>
      <c r="S9" s="35">
        <f>+'[5]Colector PAC I'!$AA$17</f>
        <v>22.326525130567582</v>
      </c>
      <c r="T9" s="69">
        <f t="shared" si="8"/>
        <v>30.227957418946673</v>
      </c>
      <c r="V9" s="46">
        <f t="shared" si="9"/>
        <v>30.227957418946673</v>
      </c>
      <c r="W9" s="35">
        <f t="shared" si="10"/>
        <v>0</v>
      </c>
    </row>
    <row r="10" spans="1:23" x14ac:dyDescent="0.3">
      <c r="B10" s="2">
        <f t="shared" si="2"/>
        <v>2026</v>
      </c>
      <c r="C10" s="3">
        <f t="shared" si="3"/>
        <v>88.811416432918946</v>
      </c>
      <c r="D10" s="3">
        <f t="shared" si="0"/>
        <v>88.811416432918946</v>
      </c>
      <c r="E10" s="3">
        <f t="shared" si="4"/>
        <v>1.0136452313307631</v>
      </c>
      <c r="F10" s="3">
        <f t="shared" si="4"/>
        <v>334.00000000000006</v>
      </c>
      <c r="G10" s="3">
        <f>+'[6]Colector PAC I'!$AB$33</f>
        <v>30.858547104123573</v>
      </c>
      <c r="H10" s="3">
        <f t="shared" si="1"/>
        <v>57.952869328795373</v>
      </c>
      <c r="L10" s="56">
        <f t="shared" si="5"/>
        <v>2026</v>
      </c>
      <c r="M10" s="9">
        <f>+'[6]Colector PAC I'!$V$33</f>
        <v>962.23742419953885</v>
      </c>
      <c r="N10" s="34">
        <f>+'[6]Colector PAC I'!$U$33</f>
        <v>1.9832551921106372</v>
      </c>
      <c r="O10" s="44"/>
      <c r="P10" s="34">
        <f>+'[6]Colector PAC I'!$Y$33</f>
        <v>7.6545576501932366</v>
      </c>
      <c r="Q10" s="34">
        <f t="shared" si="6"/>
        <v>0.39665103842212746</v>
      </c>
      <c r="R10" s="34">
        <f t="shared" si="7"/>
        <v>8.0512086886153647</v>
      </c>
      <c r="S10" s="35">
        <f>+'[6]Colector PAC I'!$AA$17</f>
        <v>22.807338415508209</v>
      </c>
      <c r="T10" s="69">
        <f t="shared" si="8"/>
        <v>30.858547104123573</v>
      </c>
      <c r="V10" s="46">
        <f t="shared" si="9"/>
        <v>30.858547104123573</v>
      </c>
      <c r="W10" s="35">
        <f t="shared" si="10"/>
        <v>0</v>
      </c>
    </row>
    <row r="11" spans="1:23" x14ac:dyDescent="0.3">
      <c r="B11" s="2">
        <f t="shared" si="2"/>
        <v>2027</v>
      </c>
      <c r="C11" s="3">
        <f t="shared" si="3"/>
        <v>88.811416432918946</v>
      </c>
      <c r="D11" s="3">
        <f t="shared" si="0"/>
        <v>88.811416432918946</v>
      </c>
      <c r="E11" s="3">
        <f t="shared" si="4"/>
        <v>1.0136452313307631</v>
      </c>
      <c r="F11" s="3">
        <f t="shared" si="4"/>
        <v>334.00000000000006</v>
      </c>
      <c r="G11" s="3">
        <f>+'[7]Colector PAC I'!$AB$33</f>
        <v>31.494955077107537</v>
      </c>
      <c r="H11" s="3">
        <f t="shared" si="1"/>
        <v>57.316461355811413</v>
      </c>
      <c r="L11" s="56">
        <f t="shared" si="5"/>
        <v>2027</v>
      </c>
      <c r="M11" s="9">
        <f>+'[7]Colector PAC I'!$V$33</f>
        <v>969.9215438515256</v>
      </c>
      <c r="N11" s="34">
        <f>+'[7]Colector PAC I'!$U$33</f>
        <v>2.0272501714076276</v>
      </c>
      <c r="O11" s="44"/>
      <c r="P11" s="34">
        <f>+'[7]Colector PAC I'!$Y$33</f>
        <v>7.7973204148481123</v>
      </c>
      <c r="Q11" s="34">
        <f t="shared" si="6"/>
        <v>0.40545003428152554</v>
      </c>
      <c r="R11" s="34">
        <f t="shared" si="7"/>
        <v>8.2027704491296376</v>
      </c>
      <c r="S11" s="35">
        <f>+'[7]Colector PAC I'!$AA$17</f>
        <v>23.2921846279779</v>
      </c>
      <c r="T11" s="69">
        <f t="shared" si="8"/>
        <v>31.494955077107537</v>
      </c>
      <c r="V11" s="46">
        <f t="shared" si="9"/>
        <v>31.494955077107537</v>
      </c>
      <c r="W11" s="35">
        <f t="shared" si="10"/>
        <v>0</v>
      </c>
    </row>
    <row r="12" spans="1:23" x14ac:dyDescent="0.3">
      <c r="B12" s="2">
        <f t="shared" si="2"/>
        <v>2028</v>
      </c>
      <c r="C12" s="3">
        <f t="shared" si="3"/>
        <v>88.811416432918946</v>
      </c>
      <c r="D12" s="3">
        <f t="shared" si="0"/>
        <v>88.811416432918946</v>
      </c>
      <c r="E12" s="3">
        <f t="shared" si="4"/>
        <v>1.0136452313307631</v>
      </c>
      <c r="F12" s="3">
        <f t="shared" si="4"/>
        <v>334.00000000000006</v>
      </c>
      <c r="G12" s="3">
        <f>+'[8]Colector PAC I'!$AB$33</f>
        <v>32.139657461976753</v>
      </c>
      <c r="H12" s="3">
        <f t="shared" si="1"/>
        <v>56.671758970942193</v>
      </c>
      <c r="L12" s="56">
        <f t="shared" si="5"/>
        <v>2028</v>
      </c>
      <c r="M12" s="9">
        <f>+'[8]Colector PAC I'!$V$33</f>
        <v>977.64723673878007</v>
      </c>
      <c r="N12" s="34">
        <f>+'[8]Colector PAC I'!$U$33</f>
        <v>2.0718344859400939</v>
      </c>
      <c r="O12" s="44"/>
      <c r="P12" s="34">
        <f>+'[8]Colector PAC I'!$Y$33</f>
        <v>7.9423814000518522</v>
      </c>
      <c r="Q12" s="34">
        <f t="shared" si="6"/>
        <v>0.41436689718801878</v>
      </c>
      <c r="R12" s="34">
        <f t="shared" si="7"/>
        <v>8.3567482972398714</v>
      </c>
      <c r="S12" s="35">
        <f>+'[8]Colector PAC I'!$AA$17</f>
        <v>23.782909164736886</v>
      </c>
      <c r="T12" s="69">
        <f t="shared" si="8"/>
        <v>32.139657461976753</v>
      </c>
      <c r="V12" s="46">
        <f t="shared" si="9"/>
        <v>32.139657461976753</v>
      </c>
      <c r="W12" s="35">
        <f t="shared" si="10"/>
        <v>0</v>
      </c>
    </row>
    <row r="13" spans="1:23" x14ac:dyDescent="0.3">
      <c r="B13" s="2">
        <f t="shared" si="2"/>
        <v>2029</v>
      </c>
      <c r="C13" s="3">
        <f t="shared" si="3"/>
        <v>88.811416432918946</v>
      </c>
      <c r="D13" s="3">
        <f t="shared" si="0"/>
        <v>88.811416432918946</v>
      </c>
      <c r="E13" s="3">
        <f t="shared" si="4"/>
        <v>1.0136452313307631</v>
      </c>
      <c r="F13" s="3">
        <f t="shared" si="4"/>
        <v>334.00000000000006</v>
      </c>
      <c r="G13" s="3">
        <f>+'[9]Colector PAC I'!$AB$33</f>
        <v>32.786387578609819</v>
      </c>
      <c r="H13" s="3">
        <f t="shared" si="1"/>
        <v>56.025028854309127</v>
      </c>
      <c r="L13" s="56">
        <f t="shared" si="5"/>
        <v>2029</v>
      </c>
      <c r="M13" s="9">
        <f>+'[9]Colector PAC I'!$V$33</f>
        <v>985.40064511621301</v>
      </c>
      <c r="N13" s="34">
        <f>+'[9]Colector PAC I'!$U$33</f>
        <v>2.1165984748962292</v>
      </c>
      <c r="O13" s="44"/>
      <c r="P13" s="34">
        <f>+'[9]Colector PAC I'!$Y$33</f>
        <v>8.0882312459756704</v>
      </c>
      <c r="Q13" s="34">
        <f t="shared" si="6"/>
        <v>0.42331969497924588</v>
      </c>
      <c r="R13" s="34">
        <f t="shared" si="7"/>
        <v>8.5115509409549155</v>
      </c>
      <c r="S13" s="35">
        <f>+'[9]Colector PAC I'!$AA$17</f>
        <v>24.274836637654904</v>
      </c>
      <c r="T13" s="69">
        <f t="shared" si="8"/>
        <v>32.786387578609819</v>
      </c>
      <c r="V13" s="46">
        <f t="shared" si="9"/>
        <v>32.786387578609819</v>
      </c>
      <c r="W13" s="35">
        <f t="shared" si="10"/>
        <v>0</v>
      </c>
    </row>
    <row r="14" spans="1:23" x14ac:dyDescent="0.3">
      <c r="B14" s="2">
        <f t="shared" si="2"/>
        <v>2030</v>
      </c>
      <c r="C14" s="3">
        <f t="shared" si="3"/>
        <v>88.811416432918946</v>
      </c>
      <c r="D14" s="3">
        <f t="shared" si="0"/>
        <v>88.811416432918946</v>
      </c>
      <c r="E14" s="3">
        <f t="shared" si="4"/>
        <v>1.0136452313307631</v>
      </c>
      <c r="F14" s="3">
        <f t="shared" si="4"/>
        <v>334.00000000000006</v>
      </c>
      <c r="G14" s="3">
        <f>+'[10]Colector PAC I'!$AB$33</f>
        <v>33.440158298814943</v>
      </c>
      <c r="H14" s="3">
        <f t="shared" si="1"/>
        <v>55.371258134104004</v>
      </c>
      <c r="L14" s="56">
        <f t="shared" si="5"/>
        <v>2030</v>
      </c>
      <c r="M14" s="9">
        <f>+'[10]Colector PAC I'!$V$33</f>
        <v>993.19562672891368</v>
      </c>
      <c r="N14" s="34">
        <f>+'[10]Colector PAC I'!$U$33</f>
        <v>2.1618720537092937</v>
      </c>
      <c r="O14" s="44"/>
      <c r="P14" s="34">
        <f>+'[10]Colector PAC I'!$Y$33</f>
        <v>8.2360777791545932</v>
      </c>
      <c r="Q14" s="34">
        <f t="shared" si="6"/>
        <v>0.43237441074185878</v>
      </c>
      <c r="R14" s="34">
        <f t="shared" si="7"/>
        <v>8.6684521898964526</v>
      </c>
      <c r="S14" s="35">
        <f>+'[10]Colector PAC I'!$AA$17</f>
        <v>24.77170610891849</v>
      </c>
      <c r="T14" s="69">
        <f t="shared" si="8"/>
        <v>33.440158298814943</v>
      </c>
      <c r="V14" s="46">
        <f t="shared" si="9"/>
        <v>33.440158298814943</v>
      </c>
      <c r="W14" s="35">
        <f t="shared" si="10"/>
        <v>0</v>
      </c>
    </row>
    <row r="15" spans="1:23" x14ac:dyDescent="0.3">
      <c r="B15" s="2">
        <f t="shared" si="2"/>
        <v>2031</v>
      </c>
      <c r="C15" s="3">
        <f t="shared" si="3"/>
        <v>88.811416432918946</v>
      </c>
      <c r="D15" s="3">
        <f t="shared" si="0"/>
        <v>88.811416432918946</v>
      </c>
      <c r="E15" s="3">
        <f t="shared" si="4"/>
        <v>1.0136452313307631</v>
      </c>
      <c r="F15" s="3">
        <f t="shared" si="4"/>
        <v>334.00000000000006</v>
      </c>
      <c r="G15" s="3">
        <f>+'[11]Colector PAC I'!$AB$33</f>
        <v>34.102195929671112</v>
      </c>
      <c r="H15" s="3">
        <f t="shared" si="1"/>
        <v>54.709220503247835</v>
      </c>
      <c r="L15" s="56">
        <f t="shared" si="5"/>
        <v>2031</v>
      </c>
      <c r="M15" s="9">
        <f>+'[11]Colector PAC I'!$V$33</f>
        <v>1001.0321815768822</v>
      </c>
      <c r="N15" s="34">
        <f>+'[11]Colector PAC I'!$U$33</f>
        <v>2.2075716378380745</v>
      </c>
      <c r="O15" s="44">
        <f t="shared" ref="O15:O21" si="11">1+(14/(4+(SQRT(M15/1000))))</f>
        <v>3.7997110935106297</v>
      </c>
      <c r="P15" s="34">
        <f t="shared" ref="P15:P21" si="12">+O15*N15</f>
        <v>8.3881344420127615</v>
      </c>
      <c r="Q15" s="34">
        <f t="shared" si="6"/>
        <v>0.44151432756761494</v>
      </c>
      <c r="R15" s="34">
        <f t="shared" si="7"/>
        <v>8.8296487695803769</v>
      </c>
      <c r="S15" s="35">
        <f>+'[11]Colector PAC I'!$AA$17</f>
        <v>25.272547160090735</v>
      </c>
      <c r="T15" s="69">
        <f t="shared" si="8"/>
        <v>34.102195929671112</v>
      </c>
      <c r="V15" s="46">
        <f t="shared" si="9"/>
        <v>34.102195929671112</v>
      </c>
      <c r="W15" s="35">
        <f t="shared" si="10"/>
        <v>0</v>
      </c>
    </row>
    <row r="16" spans="1:23" x14ac:dyDescent="0.3">
      <c r="B16" s="2">
        <f t="shared" si="2"/>
        <v>2032</v>
      </c>
      <c r="C16" s="3">
        <f t="shared" si="3"/>
        <v>88.811416432918946</v>
      </c>
      <c r="D16" s="3">
        <f t="shared" si="0"/>
        <v>88.811416432918946</v>
      </c>
      <c r="E16" s="3">
        <f t="shared" si="4"/>
        <v>1.0136452313307631</v>
      </c>
      <c r="F16" s="3">
        <f t="shared" si="4"/>
        <v>334.00000000000006</v>
      </c>
      <c r="G16" s="3">
        <f>+'[12]Colector PAC I'!$AB$33</f>
        <v>34.789170929217825</v>
      </c>
      <c r="H16" s="3">
        <f t="shared" si="1"/>
        <v>54.022245503701122</v>
      </c>
      <c r="L16" s="56">
        <f t="shared" si="5"/>
        <v>2032</v>
      </c>
      <c r="M16" s="9">
        <f>+'[12]Colector PAC I'!$V$33</f>
        <v>1008.9103096601183</v>
      </c>
      <c r="N16" s="34">
        <f>+'[12]Colector PAC I'!$U$33</f>
        <v>2.2538681584134026</v>
      </c>
      <c r="O16" s="44">
        <f t="shared" si="11"/>
        <v>3.79751285743205</v>
      </c>
      <c r="P16" s="34">
        <f t="shared" si="12"/>
        <v>8.5590933105315923</v>
      </c>
      <c r="Q16" s="34">
        <f t="shared" si="6"/>
        <v>0.45077363168268053</v>
      </c>
      <c r="R16" s="34">
        <f t="shared" si="7"/>
        <v>9.0098669422142734</v>
      </c>
      <c r="S16" s="35">
        <f>+'[12]Colector PAC I'!$AA$17</f>
        <v>25.779303987003551</v>
      </c>
      <c r="T16" s="69">
        <f t="shared" si="8"/>
        <v>34.789170929217825</v>
      </c>
      <c r="V16" s="46">
        <f t="shared" si="9"/>
        <v>34.789170929217825</v>
      </c>
      <c r="W16" s="35">
        <f t="shared" si="10"/>
        <v>0</v>
      </c>
    </row>
    <row r="17" spans="2:23" x14ac:dyDescent="0.3">
      <c r="B17" s="2">
        <f t="shared" si="2"/>
        <v>2033</v>
      </c>
      <c r="C17" s="3">
        <f t="shared" si="3"/>
        <v>88.811416432918946</v>
      </c>
      <c r="D17" s="3">
        <f t="shared" si="0"/>
        <v>88.811416432918946</v>
      </c>
      <c r="E17" s="3">
        <f t="shared" si="4"/>
        <v>1.0136452313307631</v>
      </c>
      <c r="F17" s="3">
        <f t="shared" si="4"/>
        <v>334.00000000000006</v>
      </c>
      <c r="G17" s="3">
        <f>+'[13]Colector PAC I'!$AB$33</f>
        <v>35.477569238474317</v>
      </c>
      <c r="H17" s="3">
        <f t="shared" si="1"/>
        <v>53.33384719444463</v>
      </c>
      <c r="L17" s="56">
        <f t="shared" si="5"/>
        <v>2033</v>
      </c>
      <c r="M17" s="9">
        <f>+'[13]Colector PAC I'!$V$33</f>
        <v>1016.8369398511668</v>
      </c>
      <c r="N17" s="34">
        <f>+'[13]Colector PAC I'!$U$33</f>
        <v>2.3003314852659571</v>
      </c>
      <c r="O17" s="44">
        <f t="shared" si="11"/>
        <v>3.7953131935118543</v>
      </c>
      <c r="P17" s="34">
        <f t="shared" si="12"/>
        <v>8.730478435480606</v>
      </c>
      <c r="Q17" s="34">
        <f t="shared" si="6"/>
        <v>0.46006629705319146</v>
      </c>
      <c r="R17" s="34">
        <f t="shared" si="7"/>
        <v>9.1905447325337981</v>
      </c>
      <c r="S17" s="35">
        <f>+'[13]Colector PAC I'!$AA$17</f>
        <v>26.287024505940515</v>
      </c>
      <c r="T17" s="69">
        <f t="shared" si="8"/>
        <v>35.477569238474317</v>
      </c>
      <c r="V17" s="46">
        <f t="shared" si="9"/>
        <v>35.477569238474317</v>
      </c>
      <c r="W17" s="35">
        <f t="shared" si="10"/>
        <v>0</v>
      </c>
    </row>
    <row r="18" spans="2:23" x14ac:dyDescent="0.3">
      <c r="B18" s="2">
        <f t="shared" si="2"/>
        <v>2034</v>
      </c>
      <c r="C18" s="3">
        <f t="shared" si="3"/>
        <v>88.811416432918946</v>
      </c>
      <c r="D18" s="3">
        <f t="shared" si="0"/>
        <v>88.811416432918946</v>
      </c>
      <c r="E18" s="3">
        <f t="shared" si="4"/>
        <v>1.0136452313307631</v>
      </c>
      <c r="F18" s="3">
        <f t="shared" si="4"/>
        <v>334.00000000000006</v>
      </c>
      <c r="G18" s="3">
        <f>+'[14]Colector PAC I'!$AB$33</f>
        <v>36.172825958684896</v>
      </c>
      <c r="H18" s="3">
        <f t="shared" si="1"/>
        <v>52.63859047423405</v>
      </c>
      <c r="L18" s="56">
        <f t="shared" si="5"/>
        <v>2034</v>
      </c>
      <c r="M18" s="9">
        <f>+'[14]Colector PAC I'!$V$33</f>
        <v>1024.7912855323939</v>
      </c>
      <c r="N18" s="34">
        <f>+'[14]Colector PAC I'!$U$33</f>
        <v>2.3473096689108117</v>
      </c>
      <c r="O18" s="44">
        <f t="shared" si="11"/>
        <v>3.7931178945997295</v>
      </c>
      <c r="P18" s="34">
        <f t="shared" si="12"/>
        <v>8.903622309312567</v>
      </c>
      <c r="Q18" s="34">
        <f t="shared" si="6"/>
        <v>0.46946193378216239</v>
      </c>
      <c r="R18" s="34">
        <f t="shared" si="7"/>
        <v>9.3730842430947288</v>
      </c>
      <c r="S18" s="35">
        <f>+'[14]Colector PAC I'!$AA$17</f>
        <v>26.799741715590166</v>
      </c>
      <c r="T18" s="69">
        <f t="shared" si="8"/>
        <v>36.172825958684896</v>
      </c>
      <c r="V18" s="46">
        <f t="shared" si="9"/>
        <v>36.172825958684896</v>
      </c>
      <c r="W18" s="35">
        <f t="shared" si="10"/>
        <v>0</v>
      </c>
    </row>
    <row r="19" spans="2:23" x14ac:dyDescent="0.3">
      <c r="B19" s="2">
        <f t="shared" si="2"/>
        <v>2035</v>
      </c>
      <c r="C19" s="3">
        <f t="shared" si="3"/>
        <v>88.811416432918946</v>
      </c>
      <c r="D19" s="3">
        <f t="shared" si="0"/>
        <v>88.811416432918946</v>
      </c>
      <c r="E19" s="3">
        <f t="shared" si="4"/>
        <v>1.0136452313307631</v>
      </c>
      <c r="F19" s="3">
        <f t="shared" si="4"/>
        <v>334.00000000000006</v>
      </c>
      <c r="G19" s="3">
        <f>+'[15]Colector PAC I'!$AB$33</f>
        <v>36.873455298598365</v>
      </c>
      <c r="H19" s="3">
        <f t="shared" si="1"/>
        <v>51.937961134320581</v>
      </c>
      <c r="L19" s="56">
        <f t="shared" si="5"/>
        <v>2035</v>
      </c>
      <c r="M19" s="9">
        <f>+'[15]Colector PAC I'!$V$33</f>
        <v>1032.8010621939779</v>
      </c>
      <c r="N19" s="34">
        <f>+'[15]Colector PAC I'!$U$33</f>
        <v>2.3947138578713814</v>
      </c>
      <c r="O19" s="44">
        <f t="shared" si="11"/>
        <v>3.790919351003502</v>
      </c>
      <c r="P19" s="34">
        <f t="shared" si="12"/>
        <v>9.0781671039208689</v>
      </c>
      <c r="Q19" s="34">
        <f t="shared" si="6"/>
        <v>0.47894277157427628</v>
      </c>
      <c r="R19" s="34">
        <f t="shared" si="7"/>
        <v>9.5571098754951453</v>
      </c>
      <c r="S19" s="35">
        <f>+'[15]Colector PAC I'!$AA$17</f>
        <v>27.316345423103218</v>
      </c>
      <c r="T19" s="69">
        <f t="shared" si="8"/>
        <v>36.873455298598365</v>
      </c>
      <c r="V19" s="46">
        <f t="shared" si="9"/>
        <v>36.873455298598365</v>
      </c>
      <c r="W19" s="35">
        <f t="shared" si="10"/>
        <v>0</v>
      </c>
    </row>
    <row r="20" spans="2:23" x14ac:dyDescent="0.3">
      <c r="B20" s="2">
        <f t="shared" si="2"/>
        <v>2036</v>
      </c>
      <c r="C20" s="3">
        <f t="shared" si="3"/>
        <v>88.811416432918946</v>
      </c>
      <c r="D20" s="3">
        <f t="shared" si="0"/>
        <v>88.811416432918946</v>
      </c>
      <c r="E20" s="3">
        <f t="shared" si="4"/>
        <v>1.0136452313307631</v>
      </c>
      <c r="F20" s="3">
        <f t="shared" si="4"/>
        <v>334.00000000000006</v>
      </c>
      <c r="G20" s="3">
        <f>+'[16]Colector PAC I'!$AB$33</f>
        <v>37.582267032400694</v>
      </c>
      <c r="H20" s="3">
        <f t="shared" si="1"/>
        <v>51.229149400518253</v>
      </c>
      <c r="L20" s="56">
        <f t="shared" si="5"/>
        <v>2036</v>
      </c>
      <c r="M20" s="9">
        <f>+'[16]Colector PAC I'!$V$33</f>
        <v>1040.8454832182849</v>
      </c>
      <c r="N20" s="34">
        <f>+'[16]Colector PAC I'!$U$33</f>
        <v>2.4427225844895744</v>
      </c>
      <c r="O20" s="44">
        <f t="shared" si="11"/>
        <v>3.7887233227401556</v>
      </c>
      <c r="P20" s="34">
        <f t="shared" si="12"/>
        <v>9.2548000268397601</v>
      </c>
      <c r="Q20" s="34">
        <f t="shared" si="6"/>
        <v>0.48854451689791489</v>
      </c>
      <c r="R20" s="34">
        <f t="shared" si="7"/>
        <v>9.7433445437376758</v>
      </c>
      <c r="S20" s="35">
        <f>+'[16]Colector PAC I'!$AA$17</f>
        <v>27.83892248866302</v>
      </c>
      <c r="T20" s="69">
        <f t="shared" si="8"/>
        <v>37.582267032400694</v>
      </c>
      <c r="V20" s="46">
        <f t="shared" si="9"/>
        <v>37.582267032400694</v>
      </c>
      <c r="W20" s="35">
        <f t="shared" si="10"/>
        <v>0</v>
      </c>
    </row>
    <row r="21" spans="2:23" ht="13.8" thickBot="1" x14ac:dyDescent="0.35">
      <c r="B21" s="2">
        <f t="shared" si="2"/>
        <v>2037</v>
      </c>
      <c r="C21" s="3">
        <f t="shared" si="3"/>
        <v>88.811416432918946</v>
      </c>
      <c r="D21" s="3">
        <f t="shared" si="0"/>
        <v>88.811416432918946</v>
      </c>
      <c r="E21" s="3">
        <f t="shared" si="4"/>
        <v>1.0136452313307631</v>
      </c>
      <c r="F21" s="3">
        <f t="shared" si="4"/>
        <v>334.00000000000006</v>
      </c>
      <c r="G21" s="3">
        <f>+'[17]Colector PAC I'!$AB$33</f>
        <v>38.292262344764822</v>
      </c>
      <c r="H21" s="3">
        <f t="shared" si="1"/>
        <v>50.519154088154124</v>
      </c>
      <c r="I21" s="13">
        <f>+G21/G6-1</f>
        <v>0.36046565782867002</v>
      </c>
      <c r="L21" s="58">
        <f t="shared" si="5"/>
        <v>2037</v>
      </c>
      <c r="M21" s="59">
        <f>+'[17]Colector PAC I'!$V$33</f>
        <v>1048.9384063504044</v>
      </c>
      <c r="N21" s="60">
        <f>+'[17]Colector PAC I'!$U$33</f>
        <v>2.4908852492385489</v>
      </c>
      <c r="O21" s="61">
        <f t="shared" si="11"/>
        <v>3.7865260647815662</v>
      </c>
      <c r="P21" s="60">
        <f t="shared" si="12"/>
        <v>9.4318019206216928</v>
      </c>
      <c r="Q21" s="60">
        <f t="shared" si="6"/>
        <v>0.49817704984770983</v>
      </c>
      <c r="R21" s="60">
        <f t="shared" si="7"/>
        <v>9.9299789704694028</v>
      </c>
      <c r="S21" s="65">
        <f>+'[17]Colector PAC I'!$AA$17</f>
        <v>28.362283374295423</v>
      </c>
      <c r="T21" s="70">
        <f t="shared" si="8"/>
        <v>38.292262344764822</v>
      </c>
      <c r="V21" s="46">
        <f t="shared" si="9"/>
        <v>38.292262344764822</v>
      </c>
      <c r="W21" s="35">
        <f t="shared" si="10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31</v>
      </c>
      <c r="E2" s="6" t="s">
        <v>7</v>
      </c>
      <c r="F2" s="7">
        <f>+SUM('[17]Colector El Romance y PAC Norte'!$M$19:$M$31)</f>
        <v>482.36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177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L4" s="12" t="s">
        <v>166</v>
      </c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El Romance'!B6</f>
        <v>2022</v>
      </c>
      <c r="C6" s="3">
        <f>+SUMPRODUCT('[17]Colector El Romance y PAC Norte'!$AL$19:$AL$31,'[17]Colector El Romance y PAC Norte'!$M$19:$M$31)/F2</f>
        <v>129.44068924444056</v>
      </c>
      <c r="D6" s="3">
        <f t="shared" ref="D6:D21" si="0">+C6</f>
        <v>129.44068924444056</v>
      </c>
      <c r="E6" s="3">
        <f>D6/(0.25*PI()*(F6/1000)^2)/1000</f>
        <v>1.8608284804860389</v>
      </c>
      <c r="F6" s="3">
        <f>+SUMPRODUCT('[17]Colector El Romance y PAC Norte'!$F$19:$F$31,'[17]Colector El Romance y PAC Norte'!$M$19:$M$31)/F2</f>
        <v>297.60299361472755</v>
      </c>
      <c r="G6" s="3">
        <f>+'[2]Colector El Romance y PAC Norte'!$AB$31</f>
        <v>22.258237010767587</v>
      </c>
      <c r="H6" s="3">
        <f t="shared" ref="H6:H21" si="1">+D6-G6</f>
        <v>107.18245223367298</v>
      </c>
      <c r="K6" s="56">
        <f>+B6</f>
        <v>2022</v>
      </c>
      <c r="L6" s="9">
        <f>+'[2]Colector El Romance y PAC Norte'!$V$31</f>
        <v>2029.5726733834645</v>
      </c>
      <c r="M6" s="34">
        <f>+'[2]Colector El Romance y PAC Norte'!$U$31</f>
        <v>2.7735214264755341</v>
      </c>
      <c r="N6" s="44">
        <f>1+(14/(4+(SQRT(L6/1000))))</f>
        <v>3.5808208403857074</v>
      </c>
      <c r="O6" s="34">
        <f>+N6*M6</f>
        <v>9.9314833251798884</v>
      </c>
      <c r="P6" s="34">
        <f>+$P$4*M6</f>
        <v>0.55470428529510685</v>
      </c>
      <c r="Q6" s="34">
        <f>+P6+O6</f>
        <v>10.486187610474996</v>
      </c>
      <c r="R6" s="35">
        <f>+'[2]Colector El Romance y PAC Norte'!$AA$31</f>
        <v>11.772049400292593</v>
      </c>
      <c r="S6" s="69">
        <f>+R6+Q6</f>
        <v>22.258237010767587</v>
      </c>
      <c r="U6" s="46">
        <f>+G6</f>
        <v>22.258237010767587</v>
      </c>
      <c r="V6" s="46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129.44068924444056</v>
      </c>
      <c r="D7" s="3">
        <f t="shared" si="0"/>
        <v>129.44068924444056</v>
      </c>
      <c r="E7" s="3">
        <f t="shared" ref="E7:F21" si="4">+E6</f>
        <v>1.8608284804860389</v>
      </c>
      <c r="F7" s="3">
        <f t="shared" si="4"/>
        <v>297.60299361472755</v>
      </c>
      <c r="G7" s="3">
        <f>+'[3]Colector El Romance y PAC Norte'!$AB$31</f>
        <v>22.943530424863006</v>
      </c>
      <c r="H7" s="3">
        <f t="shared" si="1"/>
        <v>106.49715881957755</v>
      </c>
      <c r="K7" s="56">
        <f t="shared" ref="K7:K21" si="5">+B7</f>
        <v>2023</v>
      </c>
      <c r="L7" s="9">
        <f>+'[3]Colector El Romance y PAC Norte'!$V$31</f>
        <v>2046.0068154589869</v>
      </c>
      <c r="M7" s="34">
        <f>+'[3]Colector El Romance y PAC Norte'!$U$31</f>
        <v>2.861034000315966</v>
      </c>
      <c r="N7" s="44">
        <f t="shared" ref="N7:N21" si="6">1+(14/(4+(SQRT(L7/1000))))</f>
        <v>3.578085160240291</v>
      </c>
      <c r="O7" s="34">
        <f t="shared" ref="O7:O21" si="7">+N7*M7</f>
        <v>10.237023299473474</v>
      </c>
      <c r="P7" s="34">
        <f t="shared" ref="P7:P21" si="8">+$P$4*M7</f>
        <v>0.57220680006319324</v>
      </c>
      <c r="Q7" s="34">
        <f t="shared" ref="Q7:Q21" si="9">+P7+O7</f>
        <v>10.809230099536668</v>
      </c>
      <c r="R7" s="35">
        <f>+'[3]Colector El Romance y PAC Norte'!$AA$31</f>
        <v>12.134300325326338</v>
      </c>
      <c r="S7" s="69">
        <f t="shared" ref="S7:S21" si="10">+R7+Q7</f>
        <v>22.943530424863006</v>
      </c>
      <c r="U7" s="46">
        <f t="shared" ref="U7:U20" si="11">+G7</f>
        <v>22.943530424863006</v>
      </c>
      <c r="V7" s="46">
        <f t="shared" ref="V7:V21" si="12">+S7-U7</f>
        <v>0</v>
      </c>
    </row>
    <row r="8" spans="1:22" x14ac:dyDescent="0.3">
      <c r="B8" s="2">
        <f t="shared" si="2"/>
        <v>2024</v>
      </c>
      <c r="C8" s="3">
        <f t="shared" si="3"/>
        <v>129.44068924444056</v>
      </c>
      <c r="D8" s="3">
        <f t="shared" si="0"/>
        <v>129.44068924444056</v>
      </c>
      <c r="E8" s="3">
        <f t="shared" si="4"/>
        <v>1.8608284804860389</v>
      </c>
      <c r="F8" s="3">
        <f t="shared" si="4"/>
        <v>297.60299361472755</v>
      </c>
      <c r="G8" s="3">
        <f>+'[4]Colector El Romance y PAC Norte'!$AB$31</f>
        <v>23.456767703531497</v>
      </c>
      <c r="H8" s="3">
        <f t="shared" si="1"/>
        <v>105.98392154090907</v>
      </c>
      <c r="K8" s="56">
        <f t="shared" si="5"/>
        <v>2024</v>
      </c>
      <c r="L8" s="9">
        <f>+'[4]Colector El Romance y PAC Norte'!$V$31</f>
        <v>2062.5164127322851</v>
      </c>
      <c r="M8" s="34">
        <f>+'[4]Colector El Romance y PAC Norte'!$U$31</f>
        <v>2.9272018200751408</v>
      </c>
      <c r="N8" s="44">
        <f t="shared" si="6"/>
        <v>3.5753537583748041</v>
      </c>
      <c r="O8" s="34">
        <f t="shared" si="7"/>
        <v>10.465782028927222</v>
      </c>
      <c r="P8" s="34">
        <f t="shared" si="8"/>
        <v>0.58544036401502819</v>
      </c>
      <c r="Q8" s="34">
        <f t="shared" si="9"/>
        <v>11.05122239294225</v>
      </c>
      <c r="R8" s="35">
        <f>+'[4]Colector El Romance y PAC Norte'!$AA$31</f>
        <v>12.405545310589249</v>
      </c>
      <c r="S8" s="69">
        <f t="shared" si="10"/>
        <v>23.456767703531497</v>
      </c>
      <c r="U8" s="46">
        <f t="shared" si="11"/>
        <v>23.456767703531497</v>
      </c>
      <c r="V8" s="46">
        <f t="shared" si="12"/>
        <v>0</v>
      </c>
    </row>
    <row r="9" spans="1:22" x14ac:dyDescent="0.3">
      <c r="B9" s="2">
        <f t="shared" si="2"/>
        <v>2025</v>
      </c>
      <c r="C9" s="3">
        <f t="shared" si="3"/>
        <v>129.44068924444056</v>
      </c>
      <c r="D9" s="3">
        <f t="shared" si="0"/>
        <v>129.44068924444056</v>
      </c>
      <c r="E9" s="3">
        <f t="shared" si="4"/>
        <v>1.8608284804860389</v>
      </c>
      <c r="F9" s="3">
        <f t="shared" si="4"/>
        <v>297.60299361472755</v>
      </c>
      <c r="G9" s="3">
        <f>+'[5]Colector El Romance y PAC Norte'!$AB$31</f>
        <v>23.971643709639547</v>
      </c>
      <c r="H9" s="3">
        <f t="shared" si="1"/>
        <v>105.46904553480101</v>
      </c>
      <c r="K9" s="56">
        <f t="shared" si="5"/>
        <v>2025</v>
      </c>
      <c r="L9" s="9">
        <f>+'[5]Colector El Romance y PAC Norte'!$V$31</f>
        <v>2079.0863741638036</v>
      </c>
      <c r="M9" s="34">
        <f>+'[5]Colector El Romance y PAC Norte'!$U$31</f>
        <v>2.9936668055796893</v>
      </c>
      <c r="N9" s="44">
        <f t="shared" si="6"/>
        <v>3.5726291180166814</v>
      </c>
      <c r="O9" s="34">
        <f t="shared" si="7"/>
        <v>10.695261199253981</v>
      </c>
      <c r="P9" s="34">
        <f t="shared" si="8"/>
        <v>0.59873336111593789</v>
      </c>
      <c r="Q9" s="34">
        <f t="shared" si="9"/>
        <v>11.293994560369919</v>
      </c>
      <c r="R9" s="35">
        <f>+'[5]Colector El Romance y PAC Norte'!$AA$31</f>
        <v>12.677649149269628</v>
      </c>
      <c r="S9" s="69">
        <f t="shared" si="10"/>
        <v>23.971643709639547</v>
      </c>
      <c r="U9" s="46">
        <f t="shared" si="11"/>
        <v>23.971643709639547</v>
      </c>
      <c r="V9" s="46">
        <f t="shared" si="12"/>
        <v>0</v>
      </c>
    </row>
    <row r="10" spans="1:22" x14ac:dyDescent="0.3">
      <c r="B10" s="2">
        <f t="shared" si="2"/>
        <v>2026</v>
      </c>
      <c r="C10" s="3">
        <f t="shared" si="3"/>
        <v>129.44068924444056</v>
      </c>
      <c r="D10" s="3">
        <f t="shared" si="0"/>
        <v>129.44068924444056</v>
      </c>
      <c r="E10" s="3">
        <f t="shared" si="4"/>
        <v>1.8608284804860389</v>
      </c>
      <c r="F10" s="3">
        <f t="shared" si="4"/>
        <v>297.60299361472755</v>
      </c>
      <c r="G10" s="3">
        <f>+'[6]Colector El Romance y PAC Norte'!$AB$31</f>
        <v>24.491973492754237</v>
      </c>
      <c r="H10" s="3">
        <f t="shared" si="1"/>
        <v>104.94871575168632</v>
      </c>
      <c r="K10" s="56">
        <f t="shared" si="5"/>
        <v>2026</v>
      </c>
      <c r="L10" s="9">
        <f>+'[6]Colector El Romance y PAC Norte'!$V$31</f>
        <v>2095.7468818326529</v>
      </c>
      <c r="M10" s="34">
        <f>+'[6]Colector El Romance y PAC Norte'!$U$31</f>
        <v>3.0609101514063632</v>
      </c>
      <c r="N10" s="44">
        <f t="shared" si="6"/>
        <v>3.5699062852886772</v>
      </c>
      <c r="O10" s="34">
        <f t="shared" si="7"/>
        <v>10.927162388209492</v>
      </c>
      <c r="P10" s="34">
        <f t="shared" si="8"/>
        <v>0.61218203028127272</v>
      </c>
      <c r="Q10" s="34">
        <f t="shared" si="9"/>
        <v>11.539344418490765</v>
      </c>
      <c r="R10" s="35">
        <f>+'[6]Colector El Romance y PAC Norte'!$AA$31</f>
        <v>12.952629074263472</v>
      </c>
      <c r="S10" s="69">
        <f t="shared" si="10"/>
        <v>24.491973492754237</v>
      </c>
      <c r="U10" s="46">
        <f t="shared" si="11"/>
        <v>24.491973492754237</v>
      </c>
      <c r="V10" s="46">
        <f t="shared" si="12"/>
        <v>0</v>
      </c>
    </row>
    <row r="11" spans="1:22" x14ac:dyDescent="0.3">
      <c r="B11" s="2">
        <f t="shared" si="2"/>
        <v>2027</v>
      </c>
      <c r="C11" s="3">
        <f t="shared" si="3"/>
        <v>129.44068924444056</v>
      </c>
      <c r="D11" s="3">
        <f t="shared" si="0"/>
        <v>129.44068924444056</v>
      </c>
      <c r="E11" s="3">
        <f t="shared" si="4"/>
        <v>1.8608284804860389</v>
      </c>
      <c r="F11" s="3">
        <f t="shared" si="4"/>
        <v>297.60299361472755</v>
      </c>
      <c r="G11" s="3">
        <f>+'[7]Colector El Romance y PAC Norte'!$AB$31</f>
        <v>25.016794620410018</v>
      </c>
      <c r="H11" s="3">
        <f t="shared" si="1"/>
        <v>104.42389462403054</v>
      </c>
      <c r="K11" s="56">
        <f t="shared" si="5"/>
        <v>2027</v>
      </c>
      <c r="L11" s="9">
        <f>+'[7]Colector El Romance y PAC Norte'!$V$31</f>
        <v>2112.4828446992774</v>
      </c>
      <c r="M11" s="34">
        <f>+'[7]Colector El Romance y PAC Norte'!$U$31</f>
        <v>3.1288109839753462</v>
      </c>
      <c r="N11" s="44">
        <f t="shared" si="6"/>
        <v>3.5671877578024627</v>
      </c>
      <c r="O11" s="34">
        <f t="shared" si="7"/>
        <v>11.161056238514732</v>
      </c>
      <c r="P11" s="34">
        <f t="shared" si="8"/>
        <v>0.62576219679506928</v>
      </c>
      <c r="Q11" s="34">
        <f t="shared" si="9"/>
        <v>11.786818435309801</v>
      </c>
      <c r="R11" s="35">
        <f>+'[7]Colector El Romance y PAC Norte'!$AA$31</f>
        <v>13.229976185100218</v>
      </c>
      <c r="S11" s="69">
        <f t="shared" si="10"/>
        <v>25.016794620410018</v>
      </c>
      <c r="U11" s="46">
        <f t="shared" si="11"/>
        <v>25.016794620410018</v>
      </c>
      <c r="V11" s="46">
        <f t="shared" si="12"/>
        <v>0</v>
      </c>
    </row>
    <row r="12" spans="1:22" x14ac:dyDescent="0.3">
      <c r="B12" s="2">
        <f t="shared" si="2"/>
        <v>2028</v>
      </c>
      <c r="C12" s="3">
        <f t="shared" si="3"/>
        <v>129.44068924444056</v>
      </c>
      <c r="D12" s="3">
        <f t="shared" si="0"/>
        <v>129.44068924444056</v>
      </c>
      <c r="E12" s="3">
        <f t="shared" si="4"/>
        <v>1.8608284804860389</v>
      </c>
      <c r="F12" s="3">
        <f t="shared" si="4"/>
        <v>297.60299361472755</v>
      </c>
      <c r="G12" s="3">
        <f>+'[8]Colector El Romance y PAC Norte'!$AB$31</f>
        <v>25.548094629600747</v>
      </c>
      <c r="H12" s="3">
        <f t="shared" si="1"/>
        <v>103.89259461483982</v>
      </c>
      <c r="K12" s="56">
        <f t="shared" si="5"/>
        <v>2028</v>
      </c>
      <c r="L12" s="9">
        <f>+'[8]Colector El Romance y PAC Norte'!$V$31</f>
        <v>2129.3093538032331</v>
      </c>
      <c r="M12" s="34">
        <f>+'[8]Colector El Romance y PAC Norte'!$U$31</f>
        <v>3.197621382903729</v>
      </c>
      <c r="N12" s="44">
        <f t="shared" si="6"/>
        <v>3.5644711146447068</v>
      </c>
      <c r="O12" s="34">
        <f t="shared" si="7"/>
        <v>11.397829054930604</v>
      </c>
      <c r="P12" s="34">
        <f t="shared" si="8"/>
        <v>0.63952427658074584</v>
      </c>
      <c r="Q12" s="34">
        <f t="shared" si="9"/>
        <v>12.037353331511349</v>
      </c>
      <c r="R12" s="35">
        <f>+'[8]Colector El Romance y PAC Norte'!$AA$31</f>
        <v>13.5107412980894</v>
      </c>
      <c r="S12" s="69">
        <f t="shared" si="10"/>
        <v>25.548094629600747</v>
      </c>
      <c r="U12" s="46">
        <f t="shared" si="11"/>
        <v>25.548094629600747</v>
      </c>
      <c r="V12" s="46">
        <f t="shared" si="12"/>
        <v>0</v>
      </c>
    </row>
    <row r="13" spans="1:22" x14ac:dyDescent="0.3">
      <c r="B13" s="2">
        <f t="shared" si="2"/>
        <v>2029</v>
      </c>
      <c r="C13" s="3">
        <f t="shared" si="3"/>
        <v>129.44068924444056</v>
      </c>
      <c r="D13" s="3">
        <f t="shared" si="0"/>
        <v>129.44068924444056</v>
      </c>
      <c r="E13" s="3">
        <f t="shared" si="4"/>
        <v>1.8608284804860389</v>
      </c>
      <c r="F13" s="3">
        <f t="shared" si="4"/>
        <v>297.60299361472755</v>
      </c>
      <c r="G13" s="3">
        <f>+'[9]Colector El Romance y PAC Norte'!$AB$31</f>
        <v>26.080845118379685</v>
      </c>
      <c r="H13" s="3">
        <f t="shared" si="1"/>
        <v>103.35984412606088</v>
      </c>
      <c r="K13" s="56">
        <f t="shared" si="5"/>
        <v>2029</v>
      </c>
      <c r="L13" s="9">
        <f>+'[9]Colector El Romance y PAC Norte'!$V$31</f>
        <v>2146.1962270654089</v>
      </c>
      <c r="M13" s="34">
        <f>+'[9]Colector El Romance y PAC Norte'!$U$31</f>
        <v>3.2667090871781634</v>
      </c>
      <c r="N13" s="44">
        <f t="shared" si="6"/>
        <v>3.5617612363901552</v>
      </c>
      <c r="O13" s="34">
        <f t="shared" si="7"/>
        <v>11.63523779727465</v>
      </c>
      <c r="P13" s="34">
        <f t="shared" si="8"/>
        <v>0.65334181743563269</v>
      </c>
      <c r="Q13" s="34">
        <f t="shared" si="9"/>
        <v>12.288579614710283</v>
      </c>
      <c r="R13" s="35">
        <f>+'[9]Colector El Romance y PAC Norte'!$AA$31</f>
        <v>13.792265503669404</v>
      </c>
      <c r="S13" s="69">
        <f t="shared" si="10"/>
        <v>26.080845118379685</v>
      </c>
      <c r="U13" s="46">
        <f t="shared" si="11"/>
        <v>26.080845118379685</v>
      </c>
      <c r="V13" s="46">
        <f t="shared" si="12"/>
        <v>0</v>
      </c>
    </row>
    <row r="14" spans="1:22" x14ac:dyDescent="0.3">
      <c r="B14" s="2">
        <f t="shared" si="2"/>
        <v>2030</v>
      </c>
      <c r="C14" s="3">
        <f t="shared" si="3"/>
        <v>129.44068924444056</v>
      </c>
      <c r="D14" s="3">
        <f t="shared" si="0"/>
        <v>129.44068924444056</v>
      </c>
      <c r="E14" s="3">
        <f t="shared" si="4"/>
        <v>1.8608284804860389</v>
      </c>
      <c r="F14" s="3">
        <f t="shared" si="4"/>
        <v>297.60299361472755</v>
      </c>
      <c r="G14" s="3">
        <f>+'[10]Colector El Romance y PAC Norte'!$AB$31</f>
        <v>26.619071473020206</v>
      </c>
      <c r="H14" s="3">
        <f t="shared" si="1"/>
        <v>102.82161777142036</v>
      </c>
      <c r="K14" s="56">
        <f t="shared" si="5"/>
        <v>2030</v>
      </c>
      <c r="L14" s="9">
        <f>+'[10]Colector El Romance y PAC Norte'!$V$31</f>
        <v>2163.1736465649155</v>
      </c>
      <c r="M14" s="34">
        <f>+'[10]Colector El Romance y PAC Norte'!$U$31</f>
        <v>3.3365832806408449</v>
      </c>
      <c r="N14" s="44">
        <f t="shared" si="6"/>
        <v>3.5590532867571278</v>
      </c>
      <c r="O14" s="34">
        <f t="shared" si="7"/>
        <v>11.875077691503678</v>
      </c>
      <c r="P14" s="34">
        <f t="shared" si="8"/>
        <v>0.66731665612816904</v>
      </c>
      <c r="Q14" s="34">
        <f t="shared" si="9"/>
        <v>12.542394347631847</v>
      </c>
      <c r="R14" s="35">
        <f>+'[10]Colector El Romance y PAC Norte'!$AA$31</f>
        <v>14.076677125388361</v>
      </c>
      <c r="S14" s="69">
        <f t="shared" si="10"/>
        <v>26.619071473020206</v>
      </c>
      <c r="U14" s="46">
        <f t="shared" si="11"/>
        <v>26.619071473020206</v>
      </c>
      <c r="V14" s="46">
        <f t="shared" si="12"/>
        <v>0</v>
      </c>
    </row>
    <row r="15" spans="1:22" x14ac:dyDescent="0.3">
      <c r="B15" s="2">
        <f t="shared" si="2"/>
        <v>2031</v>
      </c>
      <c r="C15" s="3">
        <f t="shared" si="3"/>
        <v>129.44068924444056</v>
      </c>
      <c r="D15" s="3">
        <f t="shared" si="0"/>
        <v>129.44068924444056</v>
      </c>
      <c r="E15" s="3">
        <f t="shared" si="4"/>
        <v>1.8608284804860389</v>
      </c>
      <c r="F15" s="3">
        <f t="shared" si="4"/>
        <v>297.60299361472755</v>
      </c>
      <c r="G15" s="3">
        <f>+'[11]Colector El Romance y PAC Norte'!$AB$31</f>
        <v>27.161732713785607</v>
      </c>
      <c r="H15" s="3">
        <f t="shared" si="1"/>
        <v>102.27895653065495</v>
      </c>
      <c r="K15" s="56">
        <f t="shared" si="5"/>
        <v>2031</v>
      </c>
      <c r="L15" s="9">
        <f>+'[11]Colector El Romance y PAC Norte'!$V$31</f>
        <v>2180.2416123017533</v>
      </c>
      <c r="M15" s="34">
        <f>+'[11]Colector El Romance y PAC Norte'!$U$31</f>
        <v>3.4071149608458344</v>
      </c>
      <c r="N15" s="44">
        <f t="shared" si="6"/>
        <v>3.5563473161269488</v>
      </c>
      <c r="O15" s="34">
        <f t="shared" si="7"/>
        <v>12.116884146740057</v>
      </c>
      <c r="P15" s="34">
        <f t="shared" si="8"/>
        <v>0.68142299216916691</v>
      </c>
      <c r="Q15" s="34">
        <f t="shared" si="9"/>
        <v>12.798307138909225</v>
      </c>
      <c r="R15" s="35">
        <f>+'[11]Colector El Romance y PAC Norte'!$AA$31</f>
        <v>14.363425574876382</v>
      </c>
      <c r="S15" s="69">
        <f t="shared" si="10"/>
        <v>27.161732713785607</v>
      </c>
      <c r="U15" s="46">
        <f t="shared" si="11"/>
        <v>27.161732713785607</v>
      </c>
      <c r="V15" s="46">
        <f t="shared" si="12"/>
        <v>0</v>
      </c>
    </row>
    <row r="16" spans="1:22" x14ac:dyDescent="0.3">
      <c r="B16" s="2">
        <f t="shared" si="2"/>
        <v>2032</v>
      </c>
      <c r="C16" s="3">
        <f t="shared" si="3"/>
        <v>129.44068924444056</v>
      </c>
      <c r="D16" s="3">
        <f t="shared" si="0"/>
        <v>129.44068924444056</v>
      </c>
      <c r="E16" s="3">
        <f t="shared" si="4"/>
        <v>1.8608284804860389</v>
      </c>
      <c r="F16" s="3">
        <f t="shared" si="4"/>
        <v>297.60299361472755</v>
      </c>
      <c r="G16" s="3">
        <f>+'[12]Colector El Romance y PAC Norte'!$AB$31</f>
        <v>27.710920163763973</v>
      </c>
      <c r="H16" s="3">
        <f t="shared" si="1"/>
        <v>101.72976908067659</v>
      </c>
      <c r="K16" s="56">
        <f t="shared" si="5"/>
        <v>2032</v>
      </c>
      <c r="L16" s="9">
        <f>+'[12]Colector El Romance y PAC Norte'!$V$31</f>
        <v>2197.4001242759214</v>
      </c>
      <c r="M16" s="34">
        <f>+'[12]Colector El Romance y PAC Norte'!$U$31</f>
        <v>3.4785679389434256</v>
      </c>
      <c r="N16" s="44">
        <f t="shared" si="6"/>
        <v>3.5536433738303796</v>
      </c>
      <c r="O16" s="34">
        <f t="shared" si="7"/>
        <v>12.361589906645106</v>
      </c>
      <c r="P16" s="34">
        <f t="shared" si="8"/>
        <v>0.69571358778868519</v>
      </c>
      <c r="Q16" s="34">
        <f t="shared" si="9"/>
        <v>13.057303494433791</v>
      </c>
      <c r="R16" s="35">
        <f>+'[12]Colector El Romance y PAC Norte'!$AA$31</f>
        <v>14.65361666933018</v>
      </c>
      <c r="S16" s="69">
        <f t="shared" si="10"/>
        <v>27.710920163763973</v>
      </c>
      <c r="U16" s="46">
        <f t="shared" si="11"/>
        <v>27.710920163763973</v>
      </c>
      <c r="V16" s="46">
        <f t="shared" si="12"/>
        <v>0</v>
      </c>
    </row>
    <row r="17" spans="2:22" x14ac:dyDescent="0.3">
      <c r="B17" s="2">
        <f t="shared" si="2"/>
        <v>2033</v>
      </c>
      <c r="C17" s="3">
        <f t="shared" si="3"/>
        <v>129.44068924444056</v>
      </c>
      <c r="D17" s="3">
        <f t="shared" si="0"/>
        <v>129.44068924444056</v>
      </c>
      <c r="E17" s="3">
        <f t="shared" si="4"/>
        <v>1.8608284804860389</v>
      </c>
      <c r="F17" s="3">
        <f t="shared" si="4"/>
        <v>297.60299361472755</v>
      </c>
      <c r="G17" s="3">
        <f>+'[13]Colector El Romance y PAC Norte'!$AB$31</f>
        <v>28.261316311850578</v>
      </c>
      <c r="H17" s="3">
        <f t="shared" si="1"/>
        <v>101.17937293258998</v>
      </c>
      <c r="K17" s="56">
        <f t="shared" si="5"/>
        <v>2033</v>
      </c>
      <c r="L17" s="9">
        <f>+'[13]Colector El Romance y PAC Norte'!$V$31</f>
        <v>2214.6642735269752</v>
      </c>
      <c r="M17" s="34">
        <f>+'[13]Colector El Romance y PAC Norte'!$U$31</f>
        <v>3.550278361987746</v>
      </c>
      <c r="N17" s="44">
        <f t="shared" si="6"/>
        <v>3.5509391514432065</v>
      </c>
      <c r="O17" s="34">
        <f t="shared" si="7"/>
        <v>12.606822434103943</v>
      </c>
      <c r="P17" s="34">
        <f t="shared" si="8"/>
        <v>0.7100556723975493</v>
      </c>
      <c r="Q17" s="34">
        <f t="shared" si="9"/>
        <v>13.316878106501493</v>
      </c>
      <c r="R17" s="35">
        <f>+'[13]Colector El Romance y PAC Norte'!$AA$31</f>
        <v>14.944438205349087</v>
      </c>
      <c r="S17" s="69">
        <f t="shared" si="10"/>
        <v>28.261316311850578</v>
      </c>
      <c r="U17" s="46">
        <f t="shared" si="11"/>
        <v>28.261316311850578</v>
      </c>
      <c r="V17" s="46">
        <f t="shared" si="12"/>
        <v>0</v>
      </c>
    </row>
    <row r="18" spans="2:22" x14ac:dyDescent="0.3">
      <c r="B18" s="2">
        <f t="shared" si="2"/>
        <v>2034</v>
      </c>
      <c r="C18" s="3">
        <f t="shared" si="3"/>
        <v>129.44068924444056</v>
      </c>
      <c r="D18" s="3">
        <f t="shared" si="0"/>
        <v>129.44068924444056</v>
      </c>
      <c r="E18" s="3">
        <f t="shared" si="4"/>
        <v>1.8608284804860389</v>
      </c>
      <c r="F18" s="3">
        <f t="shared" si="4"/>
        <v>297.60299361472755</v>
      </c>
      <c r="G18" s="3">
        <f>+'[14]Colector El Romance y PAC Norte'!$AB$31</f>
        <v>28.817245497341275</v>
      </c>
      <c r="H18" s="3">
        <f t="shared" si="1"/>
        <v>100.62344374709929</v>
      </c>
      <c r="K18" s="56">
        <f t="shared" si="5"/>
        <v>2034</v>
      </c>
      <c r="L18" s="9">
        <f>+'[14]Colector El Romance y PAC Norte'!$V$31</f>
        <v>2231.9887869362497</v>
      </c>
      <c r="M18" s="34">
        <f>+'[14]Colector El Romance y PAC Norte'!$U$31</f>
        <v>3.6227834030864328</v>
      </c>
      <c r="N18" s="44">
        <f t="shared" si="6"/>
        <v>3.5482417664187382</v>
      </c>
      <c r="O18" s="34">
        <f t="shared" si="7"/>
        <v>12.854511381519892</v>
      </c>
      <c r="P18" s="34">
        <f t="shared" si="8"/>
        <v>0.72455668061728662</v>
      </c>
      <c r="Q18" s="34">
        <f t="shared" si="9"/>
        <v>13.579068062137178</v>
      </c>
      <c r="R18" s="35">
        <f>+'[14]Colector El Romance y PAC Norte'!$AA$31</f>
        <v>15.238177435204099</v>
      </c>
      <c r="S18" s="69">
        <f t="shared" si="10"/>
        <v>28.817245497341275</v>
      </c>
      <c r="U18" s="46">
        <f t="shared" si="11"/>
        <v>28.817245497341275</v>
      </c>
      <c r="V18" s="46">
        <f t="shared" si="12"/>
        <v>0</v>
      </c>
    </row>
    <row r="19" spans="2:22" x14ac:dyDescent="0.3">
      <c r="B19" s="2">
        <f t="shared" si="2"/>
        <v>2035</v>
      </c>
      <c r="C19" s="3">
        <f t="shared" si="3"/>
        <v>129.44068924444056</v>
      </c>
      <c r="D19" s="3">
        <f t="shared" si="0"/>
        <v>129.44068924444056</v>
      </c>
      <c r="E19" s="3">
        <f t="shared" si="4"/>
        <v>1.8608284804860389</v>
      </c>
      <c r="F19" s="3">
        <f t="shared" si="4"/>
        <v>297.60299361472755</v>
      </c>
      <c r="G19" s="3">
        <f>+'[15]Colector El Romance y PAC Norte'!$AB$31</f>
        <v>29.377531942052457</v>
      </c>
      <c r="H19" s="3">
        <f t="shared" si="1"/>
        <v>100.06315730238811</v>
      </c>
      <c r="K19" s="56">
        <f t="shared" si="5"/>
        <v>2035</v>
      </c>
      <c r="L19" s="9">
        <f>+'[15]Colector El Romance y PAC Norte'!$V$31</f>
        <v>2249.4340286619649</v>
      </c>
      <c r="M19" s="34">
        <f>+'[15]Colector El Romance y PAC Norte'!$U$31</f>
        <v>3.695945930927429</v>
      </c>
      <c r="N19" s="44">
        <f t="shared" si="6"/>
        <v>3.5455418663240712</v>
      </c>
      <c r="O19" s="34">
        <f t="shared" si="7"/>
        <v>13.104131033773292</v>
      </c>
      <c r="P19" s="34">
        <f t="shared" si="8"/>
        <v>0.73918918618548579</v>
      </c>
      <c r="Q19" s="34">
        <f t="shared" si="9"/>
        <v>13.843320219958779</v>
      </c>
      <c r="R19" s="35">
        <f>+'[15]Colector El Romance y PAC Norte'!$AA$31</f>
        <v>15.534211722093678</v>
      </c>
      <c r="S19" s="69">
        <f t="shared" si="10"/>
        <v>29.377531942052457</v>
      </c>
      <c r="U19" s="46">
        <f t="shared" si="11"/>
        <v>29.377531942052457</v>
      </c>
      <c r="V19" s="46">
        <f t="shared" si="12"/>
        <v>0</v>
      </c>
    </row>
    <row r="20" spans="2:22" x14ac:dyDescent="0.3">
      <c r="B20" s="2">
        <f t="shared" si="2"/>
        <v>2036</v>
      </c>
      <c r="C20" s="3">
        <f t="shared" si="3"/>
        <v>129.44068924444056</v>
      </c>
      <c r="D20" s="3">
        <f t="shared" si="0"/>
        <v>129.44068924444056</v>
      </c>
      <c r="E20" s="3">
        <f t="shared" si="4"/>
        <v>1.8608284804860389</v>
      </c>
      <c r="F20" s="3">
        <f t="shared" si="4"/>
        <v>297.60299361472755</v>
      </c>
      <c r="G20" s="3">
        <f>+'[16]Colector El Romance y PAC Norte'!$AB$31</f>
        <v>29.944409443973491</v>
      </c>
      <c r="H20" s="3">
        <f t="shared" si="1"/>
        <v>99.496279800467079</v>
      </c>
      <c r="K20" s="56">
        <f t="shared" si="5"/>
        <v>2036</v>
      </c>
      <c r="L20" s="9">
        <f>+'[16]Colector El Romance y PAC Norte'!$V$31</f>
        <v>2266.9547255854559</v>
      </c>
      <c r="M20" s="34">
        <f>+'[16]Colector El Romance y PAC Norte'!$U$31</f>
        <v>3.7700414881942312</v>
      </c>
      <c r="N20" s="44">
        <f t="shared" si="6"/>
        <v>3.5428465242233114</v>
      </c>
      <c r="O20" s="34">
        <f t="shared" si="7"/>
        <v>13.356678382626612</v>
      </c>
      <c r="P20" s="34">
        <f t="shared" si="8"/>
        <v>0.75400829763884625</v>
      </c>
      <c r="Q20" s="34">
        <f t="shared" si="9"/>
        <v>14.110686680265458</v>
      </c>
      <c r="R20" s="35">
        <f>+'[16]Colector El Romance y PAC Norte'!$AA$31</f>
        <v>15.833722763708032</v>
      </c>
      <c r="S20" s="69">
        <f t="shared" si="10"/>
        <v>29.944409443973491</v>
      </c>
      <c r="U20" s="46">
        <f t="shared" si="11"/>
        <v>29.944409443973491</v>
      </c>
      <c r="V20" s="46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129.44068924444056</v>
      </c>
      <c r="D21" s="3">
        <f t="shared" si="0"/>
        <v>129.44068924444056</v>
      </c>
      <c r="E21" s="3">
        <f t="shared" si="4"/>
        <v>1.8608284804860389</v>
      </c>
      <c r="F21" s="3">
        <f t="shared" si="4"/>
        <v>297.60299361472755</v>
      </c>
      <c r="G21" s="3">
        <f>+'[17]Colector El Romance y PAC Norte'!$AB$31</f>
        <v>30.512305810499015</v>
      </c>
      <c r="H21" s="3">
        <f t="shared" si="1"/>
        <v>98.928383433941548</v>
      </c>
      <c r="I21" s="13">
        <f>+G21/G6-1</f>
        <v>0.3708321012009379</v>
      </c>
      <c r="K21" s="58">
        <f t="shared" si="5"/>
        <v>2037</v>
      </c>
      <c r="L21" s="59">
        <f>+'[17]Colector El Romance y PAC Norte'!$V$31</f>
        <v>2284.5810597858326</v>
      </c>
      <c r="M21" s="60">
        <f>+'[17]Colector El Romance y PAC Norte'!$U$31</f>
        <v>3.8443746300084372</v>
      </c>
      <c r="N21" s="61">
        <f t="shared" si="6"/>
        <v>3.5401511410859192</v>
      </c>
      <c r="O21" s="60">
        <f t="shared" si="7"/>
        <v>13.609667233186128</v>
      </c>
      <c r="P21" s="60">
        <f t="shared" si="8"/>
        <v>0.7688749260016875</v>
      </c>
      <c r="Q21" s="60">
        <f t="shared" si="9"/>
        <v>14.378542159187816</v>
      </c>
      <c r="R21" s="65">
        <f>+'[17]Colector El Romance y PAC Norte'!$AA$31</f>
        <v>16.133763651311199</v>
      </c>
      <c r="S21" s="70">
        <f t="shared" si="10"/>
        <v>30.512305810499015</v>
      </c>
      <c r="U21" s="46">
        <f>+G21</f>
        <v>30.512305810499015</v>
      </c>
      <c r="V21" s="46">
        <f t="shared" si="12"/>
        <v>0</v>
      </c>
    </row>
    <row r="22" spans="2:22" x14ac:dyDescent="0.3"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Y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5" ht="13.8" thickBot="1" x14ac:dyDescent="0.35"/>
    <row r="2" spans="1:25" x14ac:dyDescent="0.3">
      <c r="B2" s="5" t="s">
        <v>40</v>
      </c>
      <c r="E2" s="6" t="s">
        <v>7</v>
      </c>
      <c r="F2" s="7">
        <f>+'[17]Colector San Luis III'!$N$20</f>
        <v>145.91999999999999</v>
      </c>
      <c r="G2" s="8" t="s">
        <v>8</v>
      </c>
      <c r="I2" s="16" t="s">
        <v>65</v>
      </c>
      <c r="J2" s="17">
        <v>323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5" x14ac:dyDescent="0.3">
      <c r="L3" s="51"/>
      <c r="M3" s="42" t="s">
        <v>135</v>
      </c>
      <c r="P3" s="12" t="s">
        <v>170</v>
      </c>
      <c r="T3" s="52"/>
    </row>
    <row r="4" spans="1:25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  <c r="Y4" s="12" t="s">
        <v>141</v>
      </c>
    </row>
    <row r="5" spans="1:25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  <c r="Y5" s="12" t="s">
        <v>136</v>
      </c>
    </row>
    <row r="6" spans="1:25" x14ac:dyDescent="0.3">
      <c r="A6" s="12" t="s">
        <v>6</v>
      </c>
      <c r="B6" s="2">
        <f>+'Colec San Luis II'!B30</f>
        <v>2022</v>
      </c>
      <c r="C6" s="3">
        <f>+SUMPRODUCT('[17]Colector San Luis III'!$AL$17:$AL$20,'[17]Colector San Luis III'!$M$17:$M$20)/F2</f>
        <v>411.9299278034689</v>
      </c>
      <c r="D6" s="3">
        <f t="shared" ref="D6:D21" si="0">+C6</f>
        <v>411.9299278034689</v>
      </c>
      <c r="E6" s="3">
        <f>D6/(0.25*PI()*(F6/1000)^2)/1000</f>
        <v>1.0703785178352594</v>
      </c>
      <c r="F6" s="3">
        <f>+SUMPRODUCT('[17]Colector San Luis III'!$F$17:$F$20,'[17]Colector San Luis III'!$M$17:$M$20)/F2</f>
        <v>700.00000000000011</v>
      </c>
      <c r="G6" s="3">
        <f>+'[2]Colector San Luis III'!$AB$20</f>
        <v>206.94274662142107</v>
      </c>
      <c r="H6" s="3">
        <f t="shared" ref="H6:H21" si="1">+D6-G6</f>
        <v>204.98718118204783</v>
      </c>
      <c r="L6" s="56">
        <f>+B6</f>
        <v>2022</v>
      </c>
      <c r="M6" s="9">
        <f>+'[2]Colector San Luis III'!$V$20</f>
        <v>18229.96554324375</v>
      </c>
      <c r="N6" s="34">
        <f>+'[2]Colector San Luis III'!$U$20</f>
        <v>30.796602380706688</v>
      </c>
      <c r="O6" s="44">
        <f t="shared" ref="O6" si="2">1+(14/(4+(SQRT(M6/1000))))</f>
        <v>2.6929361231695168</v>
      </c>
      <c r="P6" s="34">
        <f t="shared" ref="P6" si="3">+O6*N6</f>
        <v>82.933283021893374</v>
      </c>
      <c r="Q6" s="34">
        <f>+N6*$Q$4</f>
        <v>6.159320476141338</v>
      </c>
      <c r="R6" s="34">
        <f t="shared" ref="R6" si="4">+Q6+P6</f>
        <v>89.092603498034705</v>
      </c>
      <c r="S6" s="34">
        <f>+'[2]Colector San Luis III'!$AA$20</f>
        <v>117.85014312338637</v>
      </c>
      <c r="T6" s="57">
        <f>+S6+R6</f>
        <v>206.94274662142107</v>
      </c>
      <c r="V6" s="46">
        <f>+G6</f>
        <v>206.94274662142107</v>
      </c>
      <c r="W6" s="34">
        <f>+V6-T6</f>
        <v>0</v>
      </c>
      <c r="Y6" s="12" t="s">
        <v>137</v>
      </c>
    </row>
    <row r="7" spans="1:25" x14ac:dyDescent="0.3">
      <c r="B7" s="2">
        <f t="shared" ref="B7:B21" si="5">+B6+1</f>
        <v>2023</v>
      </c>
      <c r="C7" s="3">
        <f t="shared" ref="C7:C21" si="6">+C6</f>
        <v>411.9299278034689</v>
      </c>
      <c r="D7" s="3">
        <f t="shared" si="0"/>
        <v>411.9299278034689</v>
      </c>
      <c r="E7" s="3">
        <f t="shared" ref="E7:F21" si="7">+E6</f>
        <v>1.0703785178352594</v>
      </c>
      <c r="F7" s="3">
        <f t="shared" si="7"/>
        <v>700.00000000000011</v>
      </c>
      <c r="G7" s="3">
        <f>+'[3]Colector San Luis III'!$AB$20</f>
        <v>213.20600516496413</v>
      </c>
      <c r="H7" s="3">
        <f t="shared" si="1"/>
        <v>198.72392263850477</v>
      </c>
      <c r="L7" s="56">
        <f t="shared" ref="L7:L21" si="8">+B7</f>
        <v>2023</v>
      </c>
      <c r="M7" s="9">
        <f>+'[3]Colector San Luis III'!$V$20</f>
        <v>18377.579791158361</v>
      </c>
      <c r="N7" s="34">
        <f>+'[3]Colector San Luis III'!$U$20</f>
        <v>31.768323714513301</v>
      </c>
      <c r="O7" s="44">
        <f t="shared" ref="O7:O21" si="9">1+(14/(4+(SQRT(M7/1000))))</f>
        <v>2.689411790338553</v>
      </c>
      <c r="P7" s="34">
        <f t="shared" ref="P7:P21" si="10">+O7*N7</f>
        <v>85.438104357103924</v>
      </c>
      <c r="Q7" s="34">
        <f t="shared" ref="Q7:Q21" si="11">+N7*$Q$4</f>
        <v>6.3536647429026605</v>
      </c>
      <c r="R7" s="34">
        <f t="shared" ref="R7:R21" si="12">+Q7+P7</f>
        <v>91.79176910000659</v>
      </c>
      <c r="S7" s="34">
        <f>+'[3]Colector San Luis III'!$AA$20</f>
        <v>121.41423606495754</v>
      </c>
      <c r="T7" s="57">
        <f t="shared" ref="T7:T21" si="13">+S7+R7</f>
        <v>213.20600516496413</v>
      </c>
      <c r="V7" s="46">
        <f t="shared" ref="V7:V21" si="14">+G7</f>
        <v>213.20600516496413</v>
      </c>
      <c r="W7" s="34">
        <f t="shared" ref="W7:W21" si="15">+V7-T7</f>
        <v>0</v>
      </c>
      <c r="Y7" s="12" t="s">
        <v>138</v>
      </c>
    </row>
    <row r="8" spans="1:25" x14ac:dyDescent="0.3">
      <c r="B8" s="2">
        <f t="shared" si="5"/>
        <v>2024</v>
      </c>
      <c r="C8" s="3">
        <f t="shared" si="6"/>
        <v>411.9299278034689</v>
      </c>
      <c r="D8" s="3">
        <f t="shared" si="0"/>
        <v>411.9299278034689</v>
      </c>
      <c r="E8" s="3">
        <f t="shared" si="7"/>
        <v>1.0703785178352594</v>
      </c>
      <c r="F8" s="3">
        <f t="shared" si="7"/>
        <v>700.00000000000011</v>
      </c>
      <c r="G8" s="3">
        <f>+'[4]Colector San Luis III'!$AB$20</f>
        <v>217.86857400198733</v>
      </c>
      <c r="H8" s="3">
        <f t="shared" si="1"/>
        <v>194.06135380148157</v>
      </c>
      <c r="L8" s="56">
        <f t="shared" si="8"/>
        <v>2024</v>
      </c>
      <c r="M8" s="9">
        <f>+'[4]Colector San Luis III'!$V$20</f>
        <v>18525.871790440808</v>
      </c>
      <c r="N8" s="34">
        <f>+'[4]Colector San Luis III'!$U$20</f>
        <v>32.503037359077084</v>
      </c>
      <c r="O8" s="44">
        <f t="shared" si="9"/>
        <v>2.6859001547560108</v>
      </c>
      <c r="P8" s="34">
        <f t="shared" si="10"/>
        <v>87.299913072785543</v>
      </c>
      <c r="Q8" s="34">
        <f t="shared" si="11"/>
        <v>6.5006074718154174</v>
      </c>
      <c r="R8" s="34">
        <f t="shared" si="12"/>
        <v>93.800520544600957</v>
      </c>
      <c r="S8" s="34">
        <f>+'[4]Colector San Luis III'!$AA$20</f>
        <v>124.06805345738636</v>
      </c>
      <c r="T8" s="57">
        <f t="shared" si="13"/>
        <v>217.86857400198733</v>
      </c>
      <c r="V8" s="46">
        <f t="shared" si="14"/>
        <v>217.86857400198733</v>
      </c>
      <c r="W8" s="34">
        <f t="shared" si="15"/>
        <v>0</v>
      </c>
      <c r="Y8" s="12" t="s">
        <v>139</v>
      </c>
    </row>
    <row r="9" spans="1:25" x14ac:dyDescent="0.3">
      <c r="B9" s="2">
        <f t="shared" si="5"/>
        <v>2025</v>
      </c>
      <c r="C9" s="3">
        <f t="shared" si="6"/>
        <v>411.9299278034689</v>
      </c>
      <c r="D9" s="3">
        <f t="shared" si="0"/>
        <v>411.9299278034689</v>
      </c>
      <c r="E9" s="3">
        <f t="shared" si="7"/>
        <v>1.0703785178352594</v>
      </c>
      <c r="F9" s="3">
        <f t="shared" si="7"/>
        <v>700.00000000000011</v>
      </c>
      <c r="G9" s="3">
        <f>+'[5]Colector San Luis III'!$AB$20</f>
        <v>222.54351709299243</v>
      </c>
      <c r="H9" s="3">
        <f t="shared" si="1"/>
        <v>189.38641071047647</v>
      </c>
      <c r="L9" s="56">
        <f t="shared" si="8"/>
        <v>2025</v>
      </c>
      <c r="M9" s="9">
        <f>+'[5]Colector San Luis III'!$V$20</f>
        <v>18674.705990817522</v>
      </c>
      <c r="N9" s="34">
        <f>+'[5]Colector San Luis III'!$U$20</f>
        <v>33.241050669983466</v>
      </c>
      <c r="O9" s="44">
        <f t="shared" si="9"/>
        <v>2.6824043436090754</v>
      </c>
      <c r="P9" s="34">
        <f t="shared" si="10"/>
        <v>89.165938703293008</v>
      </c>
      <c r="Q9" s="34">
        <f t="shared" si="11"/>
        <v>6.6482101339966935</v>
      </c>
      <c r="R9" s="34">
        <f t="shared" si="12"/>
        <v>95.814148837289707</v>
      </c>
      <c r="S9" s="34">
        <f>+'[5]Colector San Luis III'!$AA$20</f>
        <v>126.72936825570272</v>
      </c>
      <c r="T9" s="57">
        <f t="shared" si="13"/>
        <v>222.54351709299243</v>
      </c>
      <c r="V9" s="46">
        <f t="shared" si="14"/>
        <v>222.54351709299243</v>
      </c>
      <c r="W9" s="34">
        <f t="shared" si="15"/>
        <v>0</v>
      </c>
    </row>
    <row r="10" spans="1:25" x14ac:dyDescent="0.3">
      <c r="B10" s="2">
        <f t="shared" si="5"/>
        <v>2026</v>
      </c>
      <c r="C10" s="3">
        <f t="shared" si="6"/>
        <v>411.9299278034689</v>
      </c>
      <c r="D10" s="3">
        <f t="shared" si="0"/>
        <v>411.9299278034689</v>
      </c>
      <c r="E10" s="3">
        <f t="shared" si="7"/>
        <v>1.0703785178352594</v>
      </c>
      <c r="F10" s="3">
        <f t="shared" si="7"/>
        <v>700.00000000000011</v>
      </c>
      <c r="G10" s="3">
        <f>+'[6]Colector San Luis III'!$AB$20</f>
        <v>227.26603524801894</v>
      </c>
      <c r="H10" s="3">
        <f t="shared" si="1"/>
        <v>184.66389255544996</v>
      </c>
      <c r="L10" s="56">
        <f t="shared" si="8"/>
        <v>2026</v>
      </c>
      <c r="M10" s="9">
        <f>+'[6]Colector San Luis III'!$V$20</f>
        <v>18824.353492835642</v>
      </c>
      <c r="N10" s="34">
        <f>+'[6]Colector San Luis III'!$U$20</f>
        <v>33.987706731265092</v>
      </c>
      <c r="O10" s="44">
        <f t="shared" si="9"/>
        <v>2.6789179455802992</v>
      </c>
      <c r="P10" s="34">
        <f t="shared" si="10"/>
        <v>91.050277491506392</v>
      </c>
      <c r="Q10" s="34">
        <f t="shared" si="11"/>
        <v>6.797541346253019</v>
      </c>
      <c r="R10" s="34">
        <f t="shared" si="12"/>
        <v>97.847818837759405</v>
      </c>
      <c r="S10" s="34">
        <f>+'[6]Colector San Luis III'!$AA$20</f>
        <v>129.41821641025953</v>
      </c>
      <c r="T10" s="57">
        <f t="shared" si="13"/>
        <v>227.26603524801894</v>
      </c>
      <c r="V10" s="46">
        <f t="shared" si="14"/>
        <v>227.26603524801894</v>
      </c>
      <c r="W10" s="34">
        <f t="shared" si="15"/>
        <v>0</v>
      </c>
      <c r="Y10" s="12" t="s">
        <v>140</v>
      </c>
    </row>
    <row r="11" spans="1:25" x14ac:dyDescent="0.3">
      <c r="B11" s="2">
        <f t="shared" si="5"/>
        <v>2027</v>
      </c>
      <c r="C11" s="3">
        <f t="shared" si="6"/>
        <v>411.9299278034689</v>
      </c>
      <c r="D11" s="3">
        <f t="shared" si="0"/>
        <v>411.9299278034689</v>
      </c>
      <c r="E11" s="3">
        <f t="shared" si="7"/>
        <v>1.0703785178352594</v>
      </c>
      <c r="F11" s="3">
        <f t="shared" si="7"/>
        <v>700.00000000000011</v>
      </c>
      <c r="G11" s="3">
        <f>+'[7]Colector San Luis III'!$AB$20</f>
        <v>232.02727057489142</v>
      </c>
      <c r="H11" s="3">
        <f t="shared" si="1"/>
        <v>179.90265722857748</v>
      </c>
      <c r="L11" s="56">
        <f t="shared" si="8"/>
        <v>2027</v>
      </c>
      <c r="M11" s="9">
        <f>+'[7]Colector San Luis III'!$V$20</f>
        <v>18974.678746221594</v>
      </c>
      <c r="N11" s="34">
        <f>+'[7]Colector San Luis III'!$U$20</f>
        <v>34.741663387948726</v>
      </c>
      <c r="O11" s="44">
        <f t="shared" si="9"/>
        <v>2.67544411330078</v>
      </c>
      <c r="P11" s="34">
        <f t="shared" si="10"/>
        <v>92.949378797564648</v>
      </c>
      <c r="Q11" s="34">
        <f t="shared" si="11"/>
        <v>6.9483326775897458</v>
      </c>
      <c r="R11" s="34">
        <f t="shared" si="12"/>
        <v>99.897711475154395</v>
      </c>
      <c r="S11" s="34">
        <f>+'[7]Colector San Luis III'!$AA$20</f>
        <v>132.12955909973701</v>
      </c>
      <c r="T11" s="57">
        <f t="shared" si="13"/>
        <v>232.02727057489142</v>
      </c>
      <c r="V11" s="46">
        <f t="shared" si="14"/>
        <v>232.02727057489142</v>
      </c>
      <c r="W11" s="34">
        <f t="shared" si="15"/>
        <v>0</v>
      </c>
      <c r="Y11" s="12" t="s">
        <v>143</v>
      </c>
    </row>
    <row r="12" spans="1:25" x14ac:dyDescent="0.3">
      <c r="B12" s="2">
        <f t="shared" si="5"/>
        <v>2028</v>
      </c>
      <c r="C12" s="3">
        <f t="shared" si="6"/>
        <v>411.9299278034689</v>
      </c>
      <c r="D12" s="3">
        <f t="shared" si="0"/>
        <v>411.9299278034689</v>
      </c>
      <c r="E12" s="3">
        <f t="shared" si="7"/>
        <v>1.0703785178352594</v>
      </c>
      <c r="F12" s="3">
        <f t="shared" si="7"/>
        <v>700.00000000000011</v>
      </c>
      <c r="G12" s="3">
        <f>+'[8]Colector San Luis III'!$AB$20</f>
        <v>236.84552869103223</v>
      </c>
      <c r="H12" s="3">
        <f t="shared" si="1"/>
        <v>175.08439911243667</v>
      </c>
      <c r="L12" s="56">
        <f t="shared" si="8"/>
        <v>2028</v>
      </c>
      <c r="M12" s="9">
        <f>+'[8]Colector San Luis III'!$V$20</f>
        <v>19125.81730124895</v>
      </c>
      <c r="N12" s="34">
        <f>+'[8]Colector San Luis III'!$U$20</f>
        <v>35.505719679429447</v>
      </c>
      <c r="O12" s="44">
        <f t="shared" si="9"/>
        <v>2.671979707798104</v>
      </c>
      <c r="P12" s="34">
        <f t="shared" si="10"/>
        <v>94.870562494203284</v>
      </c>
      <c r="Q12" s="34">
        <f t="shared" si="11"/>
        <v>7.1011439358858901</v>
      </c>
      <c r="R12" s="34">
        <f t="shared" si="12"/>
        <v>101.97170643008917</v>
      </c>
      <c r="S12" s="34">
        <f>+'[8]Colector San Luis III'!$AA$20</f>
        <v>134.87382226094306</v>
      </c>
      <c r="T12" s="57">
        <f t="shared" si="13"/>
        <v>236.84552869103223</v>
      </c>
      <c r="V12" s="46">
        <f t="shared" si="14"/>
        <v>236.84552869103223</v>
      </c>
      <c r="W12" s="34">
        <f t="shared" si="15"/>
        <v>0</v>
      </c>
      <c r="Y12" s="12" t="s">
        <v>142</v>
      </c>
    </row>
    <row r="13" spans="1:25" x14ac:dyDescent="0.3">
      <c r="B13" s="2">
        <f t="shared" si="5"/>
        <v>2029</v>
      </c>
      <c r="C13" s="3">
        <f t="shared" si="6"/>
        <v>411.9299278034689</v>
      </c>
      <c r="D13" s="3">
        <f t="shared" si="0"/>
        <v>411.9299278034689</v>
      </c>
      <c r="E13" s="3">
        <f t="shared" si="7"/>
        <v>1.0703785178352594</v>
      </c>
      <c r="F13" s="3">
        <f t="shared" si="7"/>
        <v>700.00000000000011</v>
      </c>
      <c r="G13" s="3">
        <f>+'[9]Colector San Luis III'!$AB$20</f>
        <v>241.67437591278912</v>
      </c>
      <c r="H13" s="3">
        <f t="shared" si="1"/>
        <v>170.25555189067978</v>
      </c>
      <c r="L13" s="56">
        <f t="shared" si="8"/>
        <v>2029</v>
      </c>
      <c r="M13" s="9">
        <f>+'[9]Colector San Luis III'!$V$20</f>
        <v>19277.498057370576</v>
      </c>
      <c r="N13" s="34">
        <f>+'[9]Colector San Luis III'!$U$20</f>
        <v>36.272855111528614</v>
      </c>
      <c r="O13" s="44">
        <f t="shared" si="9"/>
        <v>2.6685308983888216</v>
      </c>
      <c r="P13" s="34">
        <f t="shared" si="10"/>
        <v>96.795234637895007</v>
      </c>
      <c r="Q13" s="34">
        <f t="shared" si="11"/>
        <v>7.2545710223057229</v>
      </c>
      <c r="R13" s="34">
        <f t="shared" si="12"/>
        <v>104.04980566020073</v>
      </c>
      <c r="S13" s="34">
        <f>+'[9]Colector San Luis III'!$AA$20</f>
        <v>137.62457025258837</v>
      </c>
      <c r="T13" s="57">
        <f t="shared" si="13"/>
        <v>241.67437591278912</v>
      </c>
      <c r="V13" s="46">
        <f t="shared" si="14"/>
        <v>241.67437591278912</v>
      </c>
      <c r="W13" s="34">
        <f t="shared" si="15"/>
        <v>0</v>
      </c>
      <c r="Y13" s="12" t="s">
        <v>145</v>
      </c>
    </row>
    <row r="14" spans="1:25" x14ac:dyDescent="0.3">
      <c r="B14" s="2">
        <f t="shared" si="5"/>
        <v>2030</v>
      </c>
      <c r="C14" s="3">
        <f t="shared" si="6"/>
        <v>411.9299278034689</v>
      </c>
      <c r="D14" s="3">
        <f t="shared" si="0"/>
        <v>411.9299278034689</v>
      </c>
      <c r="E14" s="3">
        <f t="shared" si="7"/>
        <v>1.0703785178352594</v>
      </c>
      <c r="F14" s="3">
        <f t="shared" si="7"/>
        <v>700.00000000000011</v>
      </c>
      <c r="G14" s="3">
        <f>+'[10]Colector San Luis III'!$AB$20</f>
        <v>246.55091174074283</v>
      </c>
      <c r="H14" s="3">
        <f t="shared" si="1"/>
        <v>165.37901606272607</v>
      </c>
      <c r="L14" s="56">
        <f t="shared" si="8"/>
        <v>2030</v>
      </c>
      <c r="M14" s="9">
        <f>+'[10]Colector San Luis III'!$V$20</f>
        <v>19429.992115133609</v>
      </c>
      <c r="N14" s="34">
        <f>+'[10]Colector San Luis III'!$U$20</f>
        <v>37.048723555233863</v>
      </c>
      <c r="O14" s="44">
        <f t="shared" si="9"/>
        <v>2.6650914755187225</v>
      </c>
      <c r="P14" s="34">
        <f t="shared" si="10"/>
        <v>98.738237325903469</v>
      </c>
      <c r="Q14" s="34">
        <f t="shared" si="11"/>
        <v>7.4097447110467733</v>
      </c>
      <c r="R14" s="34">
        <f t="shared" si="12"/>
        <v>106.14798203695024</v>
      </c>
      <c r="S14" s="34">
        <f>+'[10]Colector San Luis III'!$AA$20</f>
        <v>140.40292970379261</v>
      </c>
      <c r="T14" s="57">
        <f t="shared" si="13"/>
        <v>246.55091174074283</v>
      </c>
      <c r="V14" s="46">
        <f t="shared" si="14"/>
        <v>246.55091174074283</v>
      </c>
      <c r="W14" s="34">
        <f t="shared" si="15"/>
        <v>0</v>
      </c>
      <c r="Y14" s="12" t="s">
        <v>146</v>
      </c>
    </row>
    <row r="15" spans="1:25" x14ac:dyDescent="0.3">
      <c r="B15" s="2">
        <f t="shared" si="5"/>
        <v>2031</v>
      </c>
      <c r="C15" s="3">
        <f t="shared" si="6"/>
        <v>411.9299278034689</v>
      </c>
      <c r="D15" s="3">
        <f t="shared" si="0"/>
        <v>411.9299278034689</v>
      </c>
      <c r="E15" s="3">
        <f t="shared" si="7"/>
        <v>1.0703785178352594</v>
      </c>
      <c r="F15" s="3">
        <f t="shared" si="7"/>
        <v>700.00000000000011</v>
      </c>
      <c r="G15" s="3">
        <f>+'[11]Colector San Luis III'!$AB$20</f>
        <v>251.48682305277202</v>
      </c>
      <c r="H15" s="3">
        <f t="shared" si="1"/>
        <v>160.44310475069688</v>
      </c>
      <c r="L15" s="56">
        <f t="shared" si="8"/>
        <v>2031</v>
      </c>
      <c r="M15" s="9">
        <f>+'[11]Colector San Luis III'!$V$20</f>
        <v>19583.299474538038</v>
      </c>
      <c r="N15" s="34">
        <f>+'[11]Colector San Luis III'!$U$20</f>
        <v>37.831892594341127</v>
      </c>
      <c r="O15" s="44">
        <f t="shared" si="9"/>
        <v>2.6616614673232535</v>
      </c>
      <c r="P15" s="34">
        <f t="shared" si="10"/>
        <v>100.69569075426973</v>
      </c>
      <c r="Q15" s="34">
        <f t="shared" si="11"/>
        <v>7.566378518868226</v>
      </c>
      <c r="R15" s="34">
        <f t="shared" si="12"/>
        <v>108.26206927313795</v>
      </c>
      <c r="S15" s="34">
        <f>+'[11]Colector San Luis III'!$AA$20</f>
        <v>143.22475377963406</v>
      </c>
      <c r="T15" s="57">
        <f t="shared" si="13"/>
        <v>251.48682305277202</v>
      </c>
      <c r="V15" s="46">
        <f t="shared" si="14"/>
        <v>251.48682305277202</v>
      </c>
      <c r="W15" s="34">
        <f t="shared" si="15"/>
        <v>0</v>
      </c>
      <c r="Y15" s="12" t="s">
        <v>144</v>
      </c>
    </row>
    <row r="16" spans="1:25" x14ac:dyDescent="0.3">
      <c r="B16" s="2">
        <f t="shared" si="5"/>
        <v>2032</v>
      </c>
      <c r="C16" s="3">
        <f t="shared" si="6"/>
        <v>411.9299278034689</v>
      </c>
      <c r="D16" s="3">
        <f t="shared" si="0"/>
        <v>411.9299278034689</v>
      </c>
      <c r="E16" s="3">
        <f t="shared" si="7"/>
        <v>1.0703785178352594</v>
      </c>
      <c r="F16" s="3">
        <f t="shared" si="7"/>
        <v>700.00000000000011</v>
      </c>
      <c r="G16" s="3">
        <f>+'[12]Colector San Luis III'!$AB$20</f>
        <v>256.48101201711222</v>
      </c>
      <c r="H16" s="3">
        <f t="shared" si="1"/>
        <v>155.44891578635668</v>
      </c>
      <c r="L16" s="56">
        <f t="shared" si="8"/>
        <v>2032</v>
      </c>
      <c r="M16" s="9">
        <f>+'[12]Colector San Luis III'!$V$20</f>
        <v>19737.42013558387</v>
      </c>
      <c r="N16" s="34">
        <f>+'[12]Colector San Luis III'!$U$20</f>
        <v>38.625291532738792</v>
      </c>
      <c r="O16" s="44">
        <f t="shared" si="9"/>
        <v>2.6582409002822818</v>
      </c>
      <c r="P16" s="34">
        <f t="shared" si="10"/>
        <v>102.67532973765316</v>
      </c>
      <c r="Q16" s="34">
        <f t="shared" si="11"/>
        <v>7.7250583065477585</v>
      </c>
      <c r="R16" s="34">
        <f t="shared" si="12"/>
        <v>110.40038804420092</v>
      </c>
      <c r="S16" s="34">
        <f>+'[12]Colector San Luis III'!$AA$20</f>
        <v>146.08062397291133</v>
      </c>
      <c r="T16" s="57">
        <f t="shared" si="13"/>
        <v>256.48101201711222</v>
      </c>
      <c r="V16" s="46">
        <f t="shared" si="14"/>
        <v>256.48101201711222</v>
      </c>
      <c r="W16" s="34">
        <f t="shared" si="15"/>
        <v>0</v>
      </c>
    </row>
    <row r="17" spans="2:23" x14ac:dyDescent="0.3">
      <c r="B17" s="2">
        <f t="shared" si="5"/>
        <v>2033</v>
      </c>
      <c r="C17" s="3">
        <f t="shared" si="6"/>
        <v>411.9299278034689</v>
      </c>
      <c r="D17" s="3">
        <f t="shared" si="0"/>
        <v>411.9299278034689</v>
      </c>
      <c r="E17" s="3">
        <f t="shared" si="7"/>
        <v>1.0703785178352594</v>
      </c>
      <c r="F17" s="3">
        <f t="shared" si="7"/>
        <v>700.00000000000011</v>
      </c>
      <c r="G17" s="3">
        <f>+'[13]Colector San Luis III'!$AB$20</f>
        <v>261.48308183075187</v>
      </c>
      <c r="H17" s="3">
        <f t="shared" si="1"/>
        <v>150.44684597271703</v>
      </c>
      <c r="L17" s="56">
        <f t="shared" si="8"/>
        <v>2033</v>
      </c>
      <c r="M17" s="9">
        <f>+'[13]Colector San Luis III'!$V$20</f>
        <v>19892.489648544673</v>
      </c>
      <c r="N17" s="34">
        <f>+'[13]Colector San Luis III'!$U$20</f>
        <v>39.421549086030737</v>
      </c>
      <c r="O17" s="44">
        <f t="shared" si="9"/>
        <v>2.6548268268796251</v>
      </c>
      <c r="P17" s="34">
        <f t="shared" si="10"/>
        <v>104.65738607074637</v>
      </c>
      <c r="Q17" s="34">
        <f t="shared" si="11"/>
        <v>7.8843098172061481</v>
      </c>
      <c r="R17" s="34">
        <f t="shared" si="12"/>
        <v>112.54169588795251</v>
      </c>
      <c r="S17" s="34">
        <f>+'[13]Colector San Luis III'!$AA$20</f>
        <v>148.94138594279937</v>
      </c>
      <c r="T17" s="57">
        <f t="shared" si="13"/>
        <v>261.48308183075187</v>
      </c>
      <c r="V17" s="46">
        <f t="shared" si="14"/>
        <v>261.48308183075187</v>
      </c>
      <c r="W17" s="34">
        <f t="shared" si="15"/>
        <v>0</v>
      </c>
    </row>
    <row r="18" spans="2:23" x14ac:dyDescent="0.3">
      <c r="B18" s="2">
        <f t="shared" si="5"/>
        <v>2034</v>
      </c>
      <c r="C18" s="3">
        <f t="shared" si="6"/>
        <v>411.9299278034689</v>
      </c>
      <c r="D18" s="3">
        <f t="shared" si="0"/>
        <v>411.9299278034689</v>
      </c>
      <c r="E18" s="3">
        <f t="shared" si="7"/>
        <v>1.0703785178352594</v>
      </c>
      <c r="F18" s="3">
        <f t="shared" si="7"/>
        <v>700.00000000000011</v>
      </c>
      <c r="G18" s="3">
        <f>+'[14]Colector San Luis III'!$AB$20</f>
        <v>266.53327960860832</v>
      </c>
      <c r="H18" s="3">
        <f t="shared" si="1"/>
        <v>145.39664819486057</v>
      </c>
      <c r="L18" s="56">
        <f t="shared" si="8"/>
        <v>2034</v>
      </c>
      <c r="M18" s="9">
        <f>+'[14]Colector San Luis III'!$V$20</f>
        <v>20048.101362599744</v>
      </c>
      <c r="N18" s="34">
        <f>+'[14]Colector San Luis III'!$U$20</f>
        <v>40.226629912159616</v>
      </c>
      <c r="O18" s="44">
        <f t="shared" si="9"/>
        <v>2.6514281875455206</v>
      </c>
      <c r="P18" s="34">
        <f t="shared" si="10"/>
        <v>106.6580204390618</v>
      </c>
      <c r="Q18" s="34">
        <f t="shared" si="11"/>
        <v>8.0453259824319243</v>
      </c>
      <c r="R18" s="34">
        <f t="shared" si="12"/>
        <v>114.70334642149372</v>
      </c>
      <c r="S18" s="34">
        <f>+'[14]Colector San Luis III'!$AA$20</f>
        <v>151.82993318711462</v>
      </c>
      <c r="T18" s="57">
        <f t="shared" si="13"/>
        <v>266.53327960860832</v>
      </c>
      <c r="V18" s="46">
        <f t="shared" si="14"/>
        <v>266.53327960860832</v>
      </c>
      <c r="W18" s="34">
        <f t="shared" si="15"/>
        <v>0</v>
      </c>
    </row>
    <row r="19" spans="2:23" x14ac:dyDescent="0.3">
      <c r="B19" s="2">
        <f t="shared" si="5"/>
        <v>2035</v>
      </c>
      <c r="C19" s="3">
        <f t="shared" si="6"/>
        <v>411.9299278034689</v>
      </c>
      <c r="D19" s="3">
        <f t="shared" si="0"/>
        <v>411.9299278034689</v>
      </c>
      <c r="E19" s="3">
        <f t="shared" si="7"/>
        <v>1.0703785178352594</v>
      </c>
      <c r="F19" s="3">
        <f t="shared" si="7"/>
        <v>700.00000000000011</v>
      </c>
      <c r="G19" s="3">
        <f>+'[15]Colector San Luis III'!$AB$20</f>
        <v>271.62038031238848</v>
      </c>
      <c r="H19" s="3">
        <f t="shared" si="1"/>
        <v>140.30954749108042</v>
      </c>
      <c r="L19" s="56">
        <f t="shared" si="8"/>
        <v>2035</v>
      </c>
      <c r="M19" s="9">
        <f>+'[15]Colector San Luis III'!$V$20</f>
        <v>20204.797478843357</v>
      </c>
      <c r="N19" s="34">
        <f>+'[15]Colector San Luis III'!$U$20</f>
        <v>41.039011333690496</v>
      </c>
      <c r="O19" s="44">
        <f t="shared" si="9"/>
        <v>2.648033161736397</v>
      </c>
      <c r="P19" s="34">
        <f t="shared" si="10"/>
        <v>108.67266293648828</v>
      </c>
      <c r="Q19" s="34">
        <f t="shared" si="11"/>
        <v>8.2078022667380992</v>
      </c>
      <c r="R19" s="34">
        <f t="shared" si="12"/>
        <v>116.88046520322638</v>
      </c>
      <c r="S19" s="34">
        <f>+'[15]Colector San Luis III'!$AA$20</f>
        <v>154.7399151091621</v>
      </c>
      <c r="T19" s="57">
        <f t="shared" si="13"/>
        <v>271.62038031238848</v>
      </c>
      <c r="V19" s="46">
        <f t="shared" si="14"/>
        <v>271.62038031238848</v>
      </c>
      <c r="W19" s="34">
        <f t="shared" si="15"/>
        <v>0</v>
      </c>
    </row>
    <row r="20" spans="2:23" x14ac:dyDescent="0.3">
      <c r="B20" s="2">
        <f t="shared" si="5"/>
        <v>2036</v>
      </c>
      <c r="C20" s="3">
        <f t="shared" si="6"/>
        <v>411.9299278034689</v>
      </c>
      <c r="D20" s="3">
        <f t="shared" si="0"/>
        <v>411.9299278034689</v>
      </c>
      <c r="E20" s="3">
        <f t="shared" si="7"/>
        <v>1.0703785178352594</v>
      </c>
      <c r="F20" s="3">
        <f t="shared" si="7"/>
        <v>700.00000000000011</v>
      </c>
      <c r="G20" s="3">
        <f>+'[16]Colector San Luis III'!$AB$20</f>
        <v>276.76525341970762</v>
      </c>
      <c r="H20" s="3">
        <f t="shared" si="1"/>
        <v>135.16467438376128</v>
      </c>
      <c r="L20" s="56">
        <f t="shared" si="8"/>
        <v>2036</v>
      </c>
      <c r="M20" s="9">
        <f>+'[16]Colector San Luis III'!$V$20</f>
        <v>20362.171346454797</v>
      </c>
      <c r="N20" s="34">
        <f>+'[16]Colector San Luis III'!$U$20</f>
        <v>41.861752919005134</v>
      </c>
      <c r="O20" s="44">
        <f t="shared" si="9"/>
        <v>2.6446506156634504</v>
      </c>
      <c r="P20" s="34">
        <f t="shared" si="10"/>
        <v>110.70971062999817</v>
      </c>
      <c r="Q20" s="34">
        <f t="shared" si="11"/>
        <v>8.3723505838010279</v>
      </c>
      <c r="R20" s="34">
        <f t="shared" si="12"/>
        <v>119.08206121379919</v>
      </c>
      <c r="S20" s="34">
        <f>+'[16]Colector San Luis III'!$AA$20</f>
        <v>157.6831922059084</v>
      </c>
      <c r="T20" s="57">
        <f t="shared" si="13"/>
        <v>276.76525341970762</v>
      </c>
      <c r="V20" s="46">
        <f t="shared" si="14"/>
        <v>276.76525341970762</v>
      </c>
      <c r="W20" s="34">
        <f t="shared" si="15"/>
        <v>0</v>
      </c>
    </row>
    <row r="21" spans="2:23" ht="13.8" thickBot="1" x14ac:dyDescent="0.35">
      <c r="B21" s="2">
        <f t="shared" si="5"/>
        <v>2037</v>
      </c>
      <c r="C21" s="3">
        <f t="shared" si="6"/>
        <v>411.9299278034689</v>
      </c>
      <c r="D21" s="3">
        <f t="shared" si="0"/>
        <v>411.9299278034689</v>
      </c>
      <c r="E21" s="3">
        <f t="shared" si="7"/>
        <v>1.0703785178352594</v>
      </c>
      <c r="F21" s="3">
        <f t="shared" si="7"/>
        <v>700.00000000000011</v>
      </c>
      <c r="G21" s="3">
        <f>+'[17]Colector San Luis III'!$AB$20</f>
        <v>281.91620967022288</v>
      </c>
      <c r="H21" s="3">
        <f t="shared" si="1"/>
        <v>130.01371813324602</v>
      </c>
      <c r="I21" s="13">
        <f>+G21/G6-1</f>
        <v>0.36229084745819828</v>
      </c>
      <c r="L21" s="58">
        <f t="shared" si="8"/>
        <v>2037</v>
      </c>
      <c r="M21" s="59">
        <f>+'[17]Colector San Luis III'!$V$20</f>
        <v>20520.494065981216</v>
      </c>
      <c r="N21" s="60">
        <f>+'[17]Colector San Luis III'!$U$20</f>
        <v>42.687132593489849</v>
      </c>
      <c r="O21" s="61">
        <f t="shared" si="9"/>
        <v>2.6412747406575194</v>
      </c>
      <c r="P21" s="60">
        <f t="shared" si="10"/>
        <v>112.74844507028304</v>
      </c>
      <c r="Q21" s="60">
        <f t="shared" si="11"/>
        <v>8.5374265186979699</v>
      </c>
      <c r="R21" s="60">
        <f t="shared" si="12"/>
        <v>121.28587158898101</v>
      </c>
      <c r="S21" s="60">
        <f>+'[17]Colector San Luis III'!$AA$20</f>
        <v>160.63033808124189</v>
      </c>
      <c r="T21" s="62">
        <f t="shared" si="13"/>
        <v>281.91620967022288</v>
      </c>
      <c r="V21" s="46">
        <f t="shared" si="14"/>
        <v>281.91620967022288</v>
      </c>
      <c r="W21" s="34">
        <f t="shared" si="15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1:V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30</v>
      </c>
      <c r="E2" s="6" t="s">
        <v>7</v>
      </c>
      <c r="F2" s="7">
        <f>+'[17]Colector El Romance y PAC Norte'!$N$18</f>
        <v>113.25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165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L4" s="12" t="s">
        <v>167</v>
      </c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Bombero Solis'!B6</f>
        <v>2022</v>
      </c>
      <c r="C6" s="3">
        <f>+SUMPRODUCT('[17]Colector El Romance y PAC Norte'!$AL$17:$AL$18,'[17]Colector El Romance y PAC Norte'!$M$17:$M$18)/F2</f>
        <v>46.253624194458084</v>
      </c>
      <c r="D6" s="3">
        <f t="shared" ref="D6:D21" si="0">+C6</f>
        <v>46.253624194458084</v>
      </c>
      <c r="E6" s="3">
        <f>D6/(0.25*PI()*(F6/1000)^2)/1000</f>
        <v>0.78204253548661995</v>
      </c>
      <c r="F6" s="3">
        <f>+SUMPRODUCT('[17]Colector El Romance y PAC Norte'!$F$17:$F$18,'[17]Colector El Romance y PAC Norte'!$M$17:$M$18)/F2</f>
        <v>274.41810154525388</v>
      </c>
      <c r="G6" s="3">
        <f>+'[2]Colector El Romance y PAC Norte'!$AB$18</f>
        <v>11.772049400292593</v>
      </c>
      <c r="H6" s="3">
        <f t="shared" ref="H6:H21" si="1">+D6-G6</f>
        <v>34.481574794165489</v>
      </c>
      <c r="K6" s="56">
        <f>+B6</f>
        <v>2022</v>
      </c>
      <c r="L6" s="9"/>
      <c r="M6" s="34"/>
      <c r="N6" s="44"/>
      <c r="O6" s="34"/>
      <c r="P6" s="34"/>
      <c r="Q6" s="34">
        <f>+P6+O6</f>
        <v>0</v>
      </c>
      <c r="R6" s="35">
        <f>+'[2]Colector El Romance y PAC Norte'!$AA$31</f>
        <v>11.772049400292593</v>
      </c>
      <c r="S6" s="69">
        <f>+R6+Q6</f>
        <v>11.772049400292593</v>
      </c>
      <c r="U6" s="46">
        <f>+G6</f>
        <v>11.772049400292593</v>
      </c>
      <c r="V6" s="46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46.253624194458084</v>
      </c>
      <c r="D7" s="3">
        <f t="shared" si="0"/>
        <v>46.253624194458084</v>
      </c>
      <c r="E7" s="3">
        <f t="shared" ref="E7:F21" si="4">+E6</f>
        <v>0.78204253548661995</v>
      </c>
      <c r="F7" s="3">
        <f t="shared" si="4"/>
        <v>274.41810154525388</v>
      </c>
      <c r="G7" s="3">
        <f>+'[3]Colector El Romance y PAC Norte'!$AB$18</f>
        <v>12.134300325326338</v>
      </c>
      <c r="H7" s="3">
        <f t="shared" si="1"/>
        <v>34.119323869131748</v>
      </c>
      <c r="K7" s="56">
        <f t="shared" ref="K7:K21" si="5">+B7</f>
        <v>2023</v>
      </c>
      <c r="L7" s="9"/>
      <c r="M7" s="34"/>
      <c r="N7" s="44"/>
      <c r="O7" s="34"/>
      <c r="P7" s="34"/>
      <c r="Q7" s="34">
        <f t="shared" ref="Q7:Q21" si="6">+P7+O7</f>
        <v>0</v>
      </c>
      <c r="R7" s="35">
        <f>+'[3]Colector El Romance y PAC Norte'!$AA$31</f>
        <v>12.134300325326338</v>
      </c>
      <c r="S7" s="69">
        <f t="shared" ref="S7:S21" si="7">+R7+Q7</f>
        <v>12.134300325326338</v>
      </c>
      <c r="U7" s="46">
        <f t="shared" ref="U7:U20" si="8">+G7</f>
        <v>12.134300325326338</v>
      </c>
      <c r="V7" s="46">
        <f t="shared" ref="V7:V21" si="9">+S7-U7</f>
        <v>0</v>
      </c>
    </row>
    <row r="8" spans="1:22" x14ac:dyDescent="0.3">
      <c r="B8" s="2">
        <f t="shared" si="2"/>
        <v>2024</v>
      </c>
      <c r="C8" s="3">
        <f t="shared" si="3"/>
        <v>46.253624194458084</v>
      </c>
      <c r="D8" s="3">
        <f t="shared" si="0"/>
        <v>46.253624194458084</v>
      </c>
      <c r="E8" s="3">
        <f t="shared" si="4"/>
        <v>0.78204253548661995</v>
      </c>
      <c r="F8" s="3">
        <f t="shared" si="4"/>
        <v>274.41810154525388</v>
      </c>
      <c r="G8" s="3">
        <f>+'[4]Colector El Romance y PAC Norte'!$AB$18</f>
        <v>12.405545310589249</v>
      </c>
      <c r="H8" s="3">
        <f t="shared" si="1"/>
        <v>33.848078883868837</v>
      </c>
      <c r="K8" s="56">
        <f t="shared" si="5"/>
        <v>2024</v>
      </c>
      <c r="L8" s="9"/>
      <c r="M8" s="34"/>
      <c r="N8" s="44"/>
      <c r="O8" s="34"/>
      <c r="P8" s="34"/>
      <c r="Q8" s="34">
        <f t="shared" si="6"/>
        <v>0</v>
      </c>
      <c r="R8" s="35">
        <f>+'[4]Colector El Romance y PAC Norte'!$AA$31</f>
        <v>12.405545310589249</v>
      </c>
      <c r="S8" s="69">
        <f t="shared" si="7"/>
        <v>12.405545310589249</v>
      </c>
      <c r="U8" s="46">
        <f t="shared" si="8"/>
        <v>12.405545310589249</v>
      </c>
      <c r="V8" s="46">
        <f t="shared" si="9"/>
        <v>0</v>
      </c>
    </row>
    <row r="9" spans="1:22" x14ac:dyDescent="0.3">
      <c r="B9" s="2">
        <f t="shared" si="2"/>
        <v>2025</v>
      </c>
      <c r="C9" s="3">
        <f t="shared" si="3"/>
        <v>46.253624194458084</v>
      </c>
      <c r="D9" s="3">
        <f t="shared" si="0"/>
        <v>46.253624194458084</v>
      </c>
      <c r="E9" s="3">
        <f t="shared" si="4"/>
        <v>0.78204253548661995</v>
      </c>
      <c r="F9" s="3">
        <f t="shared" si="4"/>
        <v>274.41810154525388</v>
      </c>
      <c r="G9" s="3">
        <f>+'[5]Colector El Romance y PAC Norte'!$AB$18</f>
        <v>12.677649149269628</v>
      </c>
      <c r="H9" s="3">
        <f t="shared" si="1"/>
        <v>33.575975045188457</v>
      </c>
      <c r="K9" s="56">
        <f t="shared" si="5"/>
        <v>2025</v>
      </c>
      <c r="L9" s="9"/>
      <c r="M9" s="34"/>
      <c r="N9" s="44"/>
      <c r="O9" s="34"/>
      <c r="P9" s="34"/>
      <c r="Q9" s="34">
        <f t="shared" si="6"/>
        <v>0</v>
      </c>
      <c r="R9" s="35">
        <f>+'[5]Colector El Romance y PAC Norte'!$AA$31</f>
        <v>12.677649149269628</v>
      </c>
      <c r="S9" s="69">
        <f t="shared" si="7"/>
        <v>12.677649149269628</v>
      </c>
      <c r="U9" s="46">
        <f t="shared" si="8"/>
        <v>12.677649149269628</v>
      </c>
      <c r="V9" s="46">
        <f t="shared" si="9"/>
        <v>0</v>
      </c>
    </row>
    <row r="10" spans="1:22" x14ac:dyDescent="0.3">
      <c r="B10" s="2">
        <f t="shared" si="2"/>
        <v>2026</v>
      </c>
      <c r="C10" s="3">
        <f t="shared" si="3"/>
        <v>46.253624194458084</v>
      </c>
      <c r="D10" s="3">
        <f t="shared" si="0"/>
        <v>46.253624194458084</v>
      </c>
      <c r="E10" s="3">
        <f t="shared" si="4"/>
        <v>0.78204253548661995</v>
      </c>
      <c r="F10" s="3">
        <f t="shared" si="4"/>
        <v>274.41810154525388</v>
      </c>
      <c r="G10" s="3">
        <f>+'[6]Colector El Romance y PAC Norte'!$AB$18</f>
        <v>12.952629074263472</v>
      </c>
      <c r="H10" s="3">
        <f t="shared" si="1"/>
        <v>33.300995120194614</v>
      </c>
      <c r="K10" s="56">
        <f t="shared" si="5"/>
        <v>2026</v>
      </c>
      <c r="L10" s="9"/>
      <c r="M10" s="34"/>
      <c r="N10" s="44"/>
      <c r="O10" s="34"/>
      <c r="P10" s="34"/>
      <c r="Q10" s="34">
        <f t="shared" si="6"/>
        <v>0</v>
      </c>
      <c r="R10" s="35">
        <f>+'[6]Colector El Romance y PAC Norte'!$AA$31</f>
        <v>12.952629074263472</v>
      </c>
      <c r="S10" s="69">
        <f t="shared" si="7"/>
        <v>12.952629074263472</v>
      </c>
      <c r="U10" s="46">
        <f t="shared" si="8"/>
        <v>12.952629074263472</v>
      </c>
      <c r="V10" s="46">
        <f t="shared" si="9"/>
        <v>0</v>
      </c>
    </row>
    <row r="11" spans="1:22" x14ac:dyDescent="0.3">
      <c r="B11" s="2">
        <f t="shared" si="2"/>
        <v>2027</v>
      </c>
      <c r="C11" s="3">
        <f t="shared" si="3"/>
        <v>46.253624194458084</v>
      </c>
      <c r="D11" s="3">
        <f t="shared" si="0"/>
        <v>46.253624194458084</v>
      </c>
      <c r="E11" s="3">
        <f t="shared" si="4"/>
        <v>0.78204253548661995</v>
      </c>
      <c r="F11" s="3">
        <f t="shared" si="4"/>
        <v>274.41810154525388</v>
      </c>
      <c r="G11" s="3">
        <f>+'[7]Colector El Romance y PAC Norte'!$AB$18</f>
        <v>13.229976185100218</v>
      </c>
      <c r="H11" s="3">
        <f t="shared" si="1"/>
        <v>33.023648009357863</v>
      </c>
      <c r="K11" s="56">
        <f t="shared" si="5"/>
        <v>2027</v>
      </c>
      <c r="L11" s="9"/>
      <c r="M11" s="34"/>
      <c r="N11" s="44"/>
      <c r="O11" s="34"/>
      <c r="P11" s="34"/>
      <c r="Q11" s="34">
        <f t="shared" si="6"/>
        <v>0</v>
      </c>
      <c r="R11" s="35">
        <f>+'[7]Colector El Romance y PAC Norte'!$AA$31</f>
        <v>13.229976185100218</v>
      </c>
      <c r="S11" s="69">
        <f t="shared" si="7"/>
        <v>13.229976185100218</v>
      </c>
      <c r="U11" s="46">
        <f t="shared" si="8"/>
        <v>13.229976185100218</v>
      </c>
      <c r="V11" s="46">
        <f t="shared" si="9"/>
        <v>0</v>
      </c>
    </row>
    <row r="12" spans="1:22" x14ac:dyDescent="0.3">
      <c r="B12" s="2">
        <f t="shared" si="2"/>
        <v>2028</v>
      </c>
      <c r="C12" s="3">
        <f t="shared" si="3"/>
        <v>46.253624194458084</v>
      </c>
      <c r="D12" s="3">
        <f t="shared" si="0"/>
        <v>46.253624194458084</v>
      </c>
      <c r="E12" s="3">
        <f t="shared" si="4"/>
        <v>0.78204253548661995</v>
      </c>
      <c r="F12" s="3">
        <f t="shared" si="4"/>
        <v>274.41810154525388</v>
      </c>
      <c r="G12" s="3">
        <f>+'[8]Colector El Romance y PAC Norte'!$AB$18</f>
        <v>13.5107412980894</v>
      </c>
      <c r="H12" s="3">
        <f t="shared" si="1"/>
        <v>32.742882896368684</v>
      </c>
      <c r="K12" s="56">
        <f t="shared" si="5"/>
        <v>2028</v>
      </c>
      <c r="L12" s="9"/>
      <c r="M12" s="34"/>
      <c r="N12" s="44"/>
      <c r="O12" s="34"/>
      <c r="P12" s="34"/>
      <c r="Q12" s="34">
        <f t="shared" si="6"/>
        <v>0</v>
      </c>
      <c r="R12" s="35">
        <f>+'[8]Colector El Romance y PAC Norte'!$AA$31</f>
        <v>13.5107412980894</v>
      </c>
      <c r="S12" s="69">
        <f t="shared" si="7"/>
        <v>13.5107412980894</v>
      </c>
      <c r="U12" s="46">
        <f t="shared" si="8"/>
        <v>13.5107412980894</v>
      </c>
      <c r="V12" s="46">
        <f t="shared" si="9"/>
        <v>0</v>
      </c>
    </row>
    <row r="13" spans="1:22" x14ac:dyDescent="0.3">
      <c r="B13" s="2">
        <f t="shared" si="2"/>
        <v>2029</v>
      </c>
      <c r="C13" s="3">
        <f t="shared" si="3"/>
        <v>46.253624194458084</v>
      </c>
      <c r="D13" s="3">
        <f t="shared" si="0"/>
        <v>46.253624194458084</v>
      </c>
      <c r="E13" s="3">
        <f t="shared" si="4"/>
        <v>0.78204253548661995</v>
      </c>
      <c r="F13" s="3">
        <f t="shared" si="4"/>
        <v>274.41810154525388</v>
      </c>
      <c r="G13" s="3">
        <f>+'[9]Colector El Romance y PAC Norte'!$AB$18</f>
        <v>13.792265503669404</v>
      </c>
      <c r="H13" s="3">
        <f t="shared" si="1"/>
        <v>32.461358690788678</v>
      </c>
      <c r="K13" s="56">
        <f t="shared" si="5"/>
        <v>2029</v>
      </c>
      <c r="L13" s="9"/>
      <c r="M13" s="34"/>
      <c r="N13" s="44"/>
      <c r="O13" s="34"/>
      <c r="P13" s="34"/>
      <c r="Q13" s="34">
        <f t="shared" si="6"/>
        <v>0</v>
      </c>
      <c r="R13" s="35">
        <f>+'[9]Colector El Romance y PAC Norte'!$AA$31</f>
        <v>13.792265503669404</v>
      </c>
      <c r="S13" s="69">
        <f t="shared" si="7"/>
        <v>13.792265503669404</v>
      </c>
      <c r="U13" s="46">
        <f t="shared" si="8"/>
        <v>13.792265503669404</v>
      </c>
      <c r="V13" s="46">
        <f t="shared" si="9"/>
        <v>0</v>
      </c>
    </row>
    <row r="14" spans="1:22" x14ac:dyDescent="0.3">
      <c r="B14" s="2">
        <f t="shared" si="2"/>
        <v>2030</v>
      </c>
      <c r="C14" s="3">
        <f t="shared" si="3"/>
        <v>46.253624194458084</v>
      </c>
      <c r="D14" s="3">
        <f t="shared" si="0"/>
        <v>46.253624194458084</v>
      </c>
      <c r="E14" s="3">
        <f t="shared" si="4"/>
        <v>0.78204253548661995</v>
      </c>
      <c r="F14" s="3">
        <f t="shared" si="4"/>
        <v>274.41810154525388</v>
      </c>
      <c r="G14" s="3">
        <f>+'[10]Colector El Romance y PAC Norte'!$AB$18</f>
        <v>14.076677125388361</v>
      </c>
      <c r="H14" s="3">
        <f t="shared" si="1"/>
        <v>32.176947069069726</v>
      </c>
      <c r="K14" s="56">
        <f t="shared" si="5"/>
        <v>2030</v>
      </c>
      <c r="L14" s="9"/>
      <c r="M14" s="34"/>
      <c r="N14" s="44"/>
      <c r="O14" s="34"/>
      <c r="P14" s="34"/>
      <c r="Q14" s="34">
        <f t="shared" si="6"/>
        <v>0</v>
      </c>
      <c r="R14" s="35">
        <f>+'[10]Colector El Romance y PAC Norte'!$AA$31</f>
        <v>14.076677125388361</v>
      </c>
      <c r="S14" s="69">
        <f t="shared" si="7"/>
        <v>14.076677125388361</v>
      </c>
      <c r="U14" s="46">
        <f t="shared" si="8"/>
        <v>14.076677125388361</v>
      </c>
      <c r="V14" s="46">
        <f t="shared" si="9"/>
        <v>0</v>
      </c>
    </row>
    <row r="15" spans="1:22" x14ac:dyDescent="0.3">
      <c r="B15" s="2">
        <f t="shared" si="2"/>
        <v>2031</v>
      </c>
      <c r="C15" s="3">
        <f t="shared" si="3"/>
        <v>46.253624194458084</v>
      </c>
      <c r="D15" s="3">
        <f t="shared" si="0"/>
        <v>46.253624194458084</v>
      </c>
      <c r="E15" s="3">
        <f t="shared" si="4"/>
        <v>0.78204253548661995</v>
      </c>
      <c r="F15" s="3">
        <f t="shared" si="4"/>
        <v>274.41810154525388</v>
      </c>
      <c r="G15" s="3">
        <f>+'[11]Colector El Romance y PAC Norte'!$AB$18</f>
        <v>14.363425574876382</v>
      </c>
      <c r="H15" s="3">
        <f t="shared" si="1"/>
        <v>31.890198619581703</v>
      </c>
      <c r="K15" s="56">
        <f t="shared" si="5"/>
        <v>2031</v>
      </c>
      <c r="L15" s="9"/>
      <c r="M15" s="34"/>
      <c r="N15" s="44"/>
      <c r="O15" s="34"/>
      <c r="P15" s="34"/>
      <c r="Q15" s="34">
        <f t="shared" si="6"/>
        <v>0</v>
      </c>
      <c r="R15" s="35">
        <f>+'[11]Colector El Romance y PAC Norte'!$AA$31</f>
        <v>14.363425574876382</v>
      </c>
      <c r="S15" s="69">
        <f t="shared" si="7"/>
        <v>14.363425574876382</v>
      </c>
      <c r="U15" s="46">
        <f t="shared" si="8"/>
        <v>14.363425574876382</v>
      </c>
      <c r="V15" s="46">
        <f t="shared" si="9"/>
        <v>0</v>
      </c>
    </row>
    <row r="16" spans="1:22" x14ac:dyDescent="0.3">
      <c r="B16" s="2">
        <f t="shared" si="2"/>
        <v>2032</v>
      </c>
      <c r="C16" s="3">
        <f t="shared" si="3"/>
        <v>46.253624194458084</v>
      </c>
      <c r="D16" s="3">
        <f t="shared" si="0"/>
        <v>46.253624194458084</v>
      </c>
      <c r="E16" s="3">
        <f t="shared" si="4"/>
        <v>0.78204253548661995</v>
      </c>
      <c r="F16" s="3">
        <f t="shared" si="4"/>
        <v>274.41810154525388</v>
      </c>
      <c r="G16" s="3">
        <f>+'[12]Colector El Romance y PAC Norte'!$AB$18</f>
        <v>14.65361666933018</v>
      </c>
      <c r="H16" s="3">
        <f t="shared" si="1"/>
        <v>31.600007525127904</v>
      </c>
      <c r="K16" s="56">
        <f t="shared" si="5"/>
        <v>2032</v>
      </c>
      <c r="L16" s="9"/>
      <c r="M16" s="34"/>
      <c r="N16" s="44"/>
      <c r="O16" s="34"/>
      <c r="P16" s="34"/>
      <c r="Q16" s="34">
        <f t="shared" si="6"/>
        <v>0</v>
      </c>
      <c r="R16" s="35">
        <f>+'[12]Colector El Romance y PAC Norte'!$AA$31</f>
        <v>14.65361666933018</v>
      </c>
      <c r="S16" s="69">
        <f t="shared" si="7"/>
        <v>14.65361666933018</v>
      </c>
      <c r="U16" s="46">
        <f t="shared" si="8"/>
        <v>14.65361666933018</v>
      </c>
      <c r="V16" s="46">
        <f t="shared" si="9"/>
        <v>0</v>
      </c>
    </row>
    <row r="17" spans="2:22" x14ac:dyDescent="0.3">
      <c r="B17" s="2">
        <f t="shared" si="2"/>
        <v>2033</v>
      </c>
      <c r="C17" s="3">
        <f t="shared" si="3"/>
        <v>46.253624194458084</v>
      </c>
      <c r="D17" s="3">
        <f t="shared" si="0"/>
        <v>46.253624194458084</v>
      </c>
      <c r="E17" s="3">
        <f t="shared" si="4"/>
        <v>0.78204253548661995</v>
      </c>
      <c r="F17" s="3">
        <f t="shared" si="4"/>
        <v>274.41810154525388</v>
      </c>
      <c r="G17" s="3">
        <f>+'[13]Colector El Romance y PAC Norte'!$AB$18</f>
        <v>14.944438205349087</v>
      </c>
      <c r="H17" s="3">
        <f t="shared" si="1"/>
        <v>31.309185989108997</v>
      </c>
      <c r="K17" s="56">
        <f t="shared" si="5"/>
        <v>2033</v>
      </c>
      <c r="L17" s="9"/>
      <c r="M17" s="34"/>
      <c r="N17" s="44"/>
      <c r="O17" s="34"/>
      <c r="P17" s="34"/>
      <c r="Q17" s="34">
        <f t="shared" si="6"/>
        <v>0</v>
      </c>
      <c r="R17" s="35">
        <f>+'[13]Colector El Romance y PAC Norte'!$AA$31</f>
        <v>14.944438205349087</v>
      </c>
      <c r="S17" s="69">
        <f t="shared" si="7"/>
        <v>14.944438205349087</v>
      </c>
      <c r="U17" s="46">
        <f t="shared" si="8"/>
        <v>14.944438205349087</v>
      </c>
      <c r="V17" s="46">
        <f t="shared" si="9"/>
        <v>0</v>
      </c>
    </row>
    <row r="18" spans="2:22" x14ac:dyDescent="0.3">
      <c r="B18" s="2">
        <f t="shared" si="2"/>
        <v>2034</v>
      </c>
      <c r="C18" s="3">
        <f t="shared" si="3"/>
        <v>46.253624194458084</v>
      </c>
      <c r="D18" s="3">
        <f t="shared" si="0"/>
        <v>46.253624194458084</v>
      </c>
      <c r="E18" s="3">
        <f t="shared" si="4"/>
        <v>0.78204253548661995</v>
      </c>
      <c r="F18" s="3">
        <f t="shared" si="4"/>
        <v>274.41810154525388</v>
      </c>
      <c r="G18" s="3">
        <f>+'[14]Colector El Romance y PAC Norte'!$AB$18</f>
        <v>15.238177435204099</v>
      </c>
      <c r="H18" s="3">
        <f t="shared" si="1"/>
        <v>31.015446759253983</v>
      </c>
      <c r="K18" s="56">
        <f t="shared" si="5"/>
        <v>2034</v>
      </c>
      <c r="L18" s="9"/>
      <c r="M18" s="34"/>
      <c r="N18" s="44"/>
      <c r="O18" s="34"/>
      <c r="P18" s="34"/>
      <c r="Q18" s="34">
        <f t="shared" si="6"/>
        <v>0</v>
      </c>
      <c r="R18" s="35">
        <f>+'[14]Colector El Romance y PAC Norte'!$AA$31</f>
        <v>15.238177435204099</v>
      </c>
      <c r="S18" s="69">
        <f t="shared" si="7"/>
        <v>15.238177435204099</v>
      </c>
      <c r="U18" s="46">
        <f t="shared" si="8"/>
        <v>15.238177435204099</v>
      </c>
      <c r="V18" s="46">
        <f t="shared" si="9"/>
        <v>0</v>
      </c>
    </row>
    <row r="19" spans="2:22" x14ac:dyDescent="0.3">
      <c r="B19" s="2">
        <f t="shared" si="2"/>
        <v>2035</v>
      </c>
      <c r="C19" s="3">
        <f t="shared" si="3"/>
        <v>46.253624194458084</v>
      </c>
      <c r="D19" s="3">
        <f t="shared" si="0"/>
        <v>46.253624194458084</v>
      </c>
      <c r="E19" s="3">
        <f t="shared" si="4"/>
        <v>0.78204253548661995</v>
      </c>
      <c r="F19" s="3">
        <f t="shared" si="4"/>
        <v>274.41810154525388</v>
      </c>
      <c r="G19" s="3">
        <f>+'[15]Colector El Romance y PAC Norte'!$AB$18</f>
        <v>15.534211722093678</v>
      </c>
      <c r="H19" s="3">
        <f t="shared" si="1"/>
        <v>30.719412472364404</v>
      </c>
      <c r="K19" s="56">
        <f t="shared" si="5"/>
        <v>2035</v>
      </c>
      <c r="L19" s="9"/>
      <c r="M19" s="34"/>
      <c r="N19" s="44"/>
      <c r="O19" s="34"/>
      <c r="P19" s="34"/>
      <c r="Q19" s="34">
        <f t="shared" si="6"/>
        <v>0</v>
      </c>
      <c r="R19" s="35">
        <f>+'[15]Colector El Romance y PAC Norte'!$AA$31</f>
        <v>15.534211722093678</v>
      </c>
      <c r="S19" s="69">
        <f t="shared" si="7"/>
        <v>15.534211722093678</v>
      </c>
      <c r="U19" s="46">
        <f t="shared" si="8"/>
        <v>15.534211722093678</v>
      </c>
      <c r="V19" s="46">
        <f t="shared" si="9"/>
        <v>0</v>
      </c>
    </row>
    <row r="20" spans="2:22" x14ac:dyDescent="0.3">
      <c r="B20" s="2">
        <f t="shared" si="2"/>
        <v>2036</v>
      </c>
      <c r="C20" s="3">
        <f t="shared" si="3"/>
        <v>46.253624194458084</v>
      </c>
      <c r="D20" s="3">
        <f t="shared" si="0"/>
        <v>46.253624194458084</v>
      </c>
      <c r="E20" s="3">
        <f t="shared" si="4"/>
        <v>0.78204253548661995</v>
      </c>
      <c r="F20" s="3">
        <f t="shared" si="4"/>
        <v>274.41810154525388</v>
      </c>
      <c r="G20" s="3">
        <f>+'[16]Colector El Romance y PAC Norte'!$AB$18</f>
        <v>15.833722763708032</v>
      </c>
      <c r="H20" s="3">
        <f t="shared" si="1"/>
        <v>30.419901430750052</v>
      </c>
      <c r="K20" s="56">
        <f t="shared" si="5"/>
        <v>2036</v>
      </c>
      <c r="L20" s="9"/>
      <c r="M20" s="34"/>
      <c r="N20" s="44"/>
      <c r="O20" s="34"/>
      <c r="P20" s="34"/>
      <c r="Q20" s="34">
        <f t="shared" si="6"/>
        <v>0</v>
      </c>
      <c r="R20" s="35">
        <f>+'[16]Colector El Romance y PAC Norte'!$AA$31</f>
        <v>15.833722763708032</v>
      </c>
      <c r="S20" s="69">
        <f t="shared" si="7"/>
        <v>15.833722763708032</v>
      </c>
      <c r="U20" s="46">
        <f t="shared" si="8"/>
        <v>15.833722763708032</v>
      </c>
      <c r="V20" s="46">
        <f t="shared" si="9"/>
        <v>0</v>
      </c>
    </row>
    <row r="21" spans="2:22" ht="13.8" thickBot="1" x14ac:dyDescent="0.35">
      <c r="B21" s="2">
        <f t="shared" si="2"/>
        <v>2037</v>
      </c>
      <c r="C21" s="3">
        <f t="shared" si="3"/>
        <v>46.253624194458084</v>
      </c>
      <c r="D21" s="3">
        <f t="shared" si="0"/>
        <v>46.253624194458084</v>
      </c>
      <c r="E21" s="3">
        <f t="shared" si="4"/>
        <v>0.78204253548661995</v>
      </c>
      <c r="F21" s="3">
        <f t="shared" si="4"/>
        <v>274.41810154525388</v>
      </c>
      <c r="G21" s="3">
        <f>+'[17]Colector El Romance y PAC Norte'!$AB$18</f>
        <v>16.133763651311199</v>
      </c>
      <c r="H21" s="3">
        <f t="shared" si="1"/>
        <v>30.119860543146885</v>
      </c>
      <c r="I21" s="13">
        <f>+G21/G6-1</f>
        <v>0.3705144365865638</v>
      </c>
      <c r="K21" s="58">
        <f t="shared" si="5"/>
        <v>2037</v>
      </c>
      <c r="L21" s="59"/>
      <c r="M21" s="60"/>
      <c r="N21" s="61"/>
      <c r="O21" s="60"/>
      <c r="P21" s="60"/>
      <c r="Q21" s="60">
        <f t="shared" si="6"/>
        <v>0</v>
      </c>
      <c r="R21" s="65">
        <f>+'[17]Colector El Romance y PAC Norte'!$AA$31</f>
        <v>16.133763651311199</v>
      </c>
      <c r="S21" s="70">
        <f t="shared" si="7"/>
        <v>16.133763651311199</v>
      </c>
      <c r="U21" s="46">
        <f>+G21</f>
        <v>16.133763651311199</v>
      </c>
      <c r="V21" s="46">
        <f t="shared" si="9"/>
        <v>0</v>
      </c>
    </row>
    <row r="22" spans="2:22" x14ac:dyDescent="0.3">
      <c r="K22" s="43"/>
      <c r="L22" s="9"/>
    </row>
    <row r="23" spans="2:22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1:V22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75</v>
      </c>
      <c r="E2" s="6" t="s">
        <v>7</v>
      </c>
      <c r="F2" s="7">
        <f>+'[17]Colector Bombero Solis'!$N$47</f>
        <v>1680.5699999999997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163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L4" s="12" t="s">
        <v>164</v>
      </c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Bueras Simpson'!B6</f>
        <v>2022</v>
      </c>
      <c r="C6" s="3">
        <f>+SUMPRODUCT('[17]Colector Bombero Solis'!$AL$17:$AL$47,'[17]Colector Bombero Solis'!$M$17:$M$47)/F2</f>
        <v>41.374609446804143</v>
      </c>
      <c r="D6" s="3">
        <f t="shared" ref="D6:D21" si="0">+C6</f>
        <v>41.374609446804143</v>
      </c>
      <c r="E6" s="3">
        <f>D6/(0.25*PI()*(F6/1000)^2)/1000</f>
        <v>0.91000947563246593</v>
      </c>
      <c r="F6" s="3">
        <f>+SUMPRODUCT('[17]Colector Bombero Solis'!$F$17:$F$47,'[17]Colector Bombero Solis'!$M$17:$M$47)/F2</f>
        <v>240.60190173572073</v>
      </c>
      <c r="G6" s="3">
        <f>+'[2]Colector Bombero Solis'!$AB$47</f>
        <v>30.900974077384923</v>
      </c>
      <c r="H6" s="3">
        <f t="shared" ref="H6:H20" si="1">+D6-G6</f>
        <v>10.47363536941922</v>
      </c>
      <c r="K6" s="56">
        <f>+B6</f>
        <v>2022</v>
      </c>
      <c r="L6" s="9">
        <f>+'[2]Colector Bombero Solis'!$V$47</f>
        <v>4496.4232630233973</v>
      </c>
      <c r="M6" s="34">
        <f>+'[2]Colector Bombero Solis'!$U$47</f>
        <v>8.0494924474152736</v>
      </c>
      <c r="N6" s="44">
        <f>1+(14/(4+(SQRT(L6/1000))))</f>
        <v>3.2874033674807102</v>
      </c>
      <c r="O6" s="34">
        <f>+N6*M6</f>
        <v>26.461928578143514</v>
      </c>
      <c r="P6" s="34">
        <f>+$P$4*M6</f>
        <v>1.6098984894830548</v>
      </c>
      <c r="Q6" s="34">
        <f>+P6+O6</f>
        <v>28.071827067626568</v>
      </c>
      <c r="R6" s="35">
        <f>+'[2]Colector Bombero Solis'!$AA$47</f>
        <v>2.8291470097583544</v>
      </c>
      <c r="S6" s="69">
        <f>+R6+Q6</f>
        <v>30.900974077384923</v>
      </c>
      <c r="U6" s="46">
        <f>+G6</f>
        <v>30.900974077384923</v>
      </c>
      <c r="V6" s="46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41.374609446804143</v>
      </c>
      <c r="D7" s="3">
        <f t="shared" si="0"/>
        <v>41.374609446804143</v>
      </c>
      <c r="E7" s="3">
        <f t="shared" ref="E7:F21" si="4">+E6</f>
        <v>0.91000947563246593</v>
      </c>
      <c r="F7" s="3">
        <f t="shared" si="4"/>
        <v>240.60190173572073</v>
      </c>
      <c r="G7" s="3">
        <f>+'[3]Colector Bombero Solis'!$AB$47</f>
        <v>31.246054925327016</v>
      </c>
      <c r="H7" s="3">
        <f t="shared" si="1"/>
        <v>10.128554521477128</v>
      </c>
      <c r="K7" s="56">
        <f t="shared" ref="K7:K21" si="5">+B7</f>
        <v>2023</v>
      </c>
      <c r="L7" s="9">
        <f>+'[3]Colector Bombero Solis'!$V$47</f>
        <v>4508.9259090006144</v>
      </c>
      <c r="M7" s="34">
        <f>+'[3]Colector Bombero Solis'!$U$47</f>
        <v>8.1468035664865486</v>
      </c>
      <c r="N7" s="44">
        <f t="shared" ref="N7:N21" si="6">1+(14/(4+(SQRT(L7/1000))))</f>
        <v>3.2863028796456084</v>
      </c>
      <c r="O7" s="34">
        <f t="shared" ref="O7:O21" si="7">+N7*M7</f>
        <v>26.772864020451859</v>
      </c>
      <c r="P7" s="34">
        <f t="shared" ref="P7:P21" si="8">+$P$4*M7</f>
        <v>1.6293607132973098</v>
      </c>
      <c r="Q7" s="34">
        <f t="shared" ref="Q7:Q21" si="9">+P7+O7</f>
        <v>28.402224733749168</v>
      </c>
      <c r="R7" s="35">
        <f>+'[3]Colector Bombero Solis'!$AA$47</f>
        <v>2.8438301915778488</v>
      </c>
      <c r="S7" s="69">
        <f t="shared" ref="S7:S21" si="10">+R7+Q7</f>
        <v>31.246054925327016</v>
      </c>
      <c r="U7" s="46">
        <f t="shared" ref="U7:U20" si="11">+G7</f>
        <v>31.246054925327016</v>
      </c>
      <c r="V7" s="46">
        <f t="shared" ref="V7:V21" si="12">+S7-U7</f>
        <v>0</v>
      </c>
    </row>
    <row r="8" spans="1:22" x14ac:dyDescent="0.3">
      <c r="B8" s="2">
        <f t="shared" si="2"/>
        <v>2024</v>
      </c>
      <c r="C8" s="3">
        <f t="shared" si="3"/>
        <v>41.374609446804143</v>
      </c>
      <c r="D8" s="3">
        <f t="shared" si="0"/>
        <v>41.374609446804143</v>
      </c>
      <c r="E8" s="3">
        <f t="shared" si="4"/>
        <v>0.91000947563246593</v>
      </c>
      <c r="F8" s="3">
        <f t="shared" si="4"/>
        <v>240.60190173572073</v>
      </c>
      <c r="G8" s="3">
        <f>+'[4]Colector Bombero Solis'!$AB$47</f>
        <v>31.507917548780103</v>
      </c>
      <c r="H8" s="3">
        <f t="shared" si="1"/>
        <v>9.8666918980240403</v>
      </c>
      <c r="K8" s="56">
        <f t="shared" si="5"/>
        <v>2024</v>
      </c>
      <c r="L8" s="9">
        <f>+'[4]Colector Bombero Solis'!$V$47</f>
        <v>4521.4859592293351</v>
      </c>
      <c r="M8" s="34">
        <f>+'[4]Colector Bombero Solis'!$U$47</f>
        <v>8.2203800173290524</v>
      </c>
      <c r="N8" s="44">
        <f t="shared" si="6"/>
        <v>3.2851999377462127</v>
      </c>
      <c r="O8" s="34">
        <f t="shared" si="7"/>
        <v>27.005591921179615</v>
      </c>
      <c r="P8" s="34">
        <f t="shared" si="8"/>
        <v>1.6440760034658106</v>
      </c>
      <c r="Q8" s="34">
        <f t="shared" si="9"/>
        <v>28.649667924645424</v>
      </c>
      <c r="R8" s="35">
        <f>+'[4]Colector Bombero Solis'!$AA$47</f>
        <v>2.8582496241346793</v>
      </c>
      <c r="S8" s="69">
        <f t="shared" si="10"/>
        <v>31.507917548780103</v>
      </c>
      <c r="U8" s="46">
        <f t="shared" si="11"/>
        <v>31.507917548780103</v>
      </c>
      <c r="V8" s="46">
        <f t="shared" si="12"/>
        <v>0</v>
      </c>
    </row>
    <row r="9" spans="1:22" x14ac:dyDescent="0.3">
      <c r="B9" s="2">
        <f t="shared" si="2"/>
        <v>2025</v>
      </c>
      <c r="C9" s="3">
        <f t="shared" si="3"/>
        <v>41.374609446804143</v>
      </c>
      <c r="D9" s="3">
        <f t="shared" si="0"/>
        <v>41.374609446804143</v>
      </c>
      <c r="E9" s="3">
        <f t="shared" si="4"/>
        <v>0.91000947563246593</v>
      </c>
      <c r="F9" s="3">
        <f t="shared" si="4"/>
        <v>240.60190173572073</v>
      </c>
      <c r="G9" s="3">
        <f>+'[5]Colector Bombero Solis'!$AB$47</f>
        <v>31.770703877718933</v>
      </c>
      <c r="H9" s="3">
        <f t="shared" si="1"/>
        <v>9.6039055690852102</v>
      </c>
      <c r="K9" s="56">
        <f t="shared" si="5"/>
        <v>2025</v>
      </c>
      <c r="L9" s="9">
        <f>+'[5]Colector Bombero Solis'!$V$47</f>
        <v>4534.0919328592572</v>
      </c>
      <c r="M9" s="34">
        <f>+'[5]Colector Bombero Solis'!$U$47</f>
        <v>8.2942869067584155</v>
      </c>
      <c r="N9" s="44">
        <f t="shared" si="6"/>
        <v>3.2840955696404164</v>
      </c>
      <c r="O9" s="34">
        <f t="shared" si="7"/>
        <v>27.239230883811825</v>
      </c>
      <c r="P9" s="34">
        <f t="shared" si="8"/>
        <v>1.6588573813516831</v>
      </c>
      <c r="Q9" s="34">
        <f t="shared" si="9"/>
        <v>28.898088265163508</v>
      </c>
      <c r="R9" s="35">
        <f>+'[5]Colector Bombero Solis'!$AA$47</f>
        <v>2.8726156125554243</v>
      </c>
      <c r="S9" s="69">
        <f t="shared" si="10"/>
        <v>31.770703877718933</v>
      </c>
      <c r="U9" s="46">
        <f t="shared" si="11"/>
        <v>31.770703877718933</v>
      </c>
      <c r="V9" s="46">
        <f t="shared" si="12"/>
        <v>0</v>
      </c>
    </row>
    <row r="10" spans="1:22" x14ac:dyDescent="0.3">
      <c r="B10" s="2">
        <f t="shared" si="2"/>
        <v>2026</v>
      </c>
      <c r="C10" s="3">
        <f t="shared" si="3"/>
        <v>41.374609446804143</v>
      </c>
      <c r="D10" s="3">
        <f t="shared" si="0"/>
        <v>41.374609446804143</v>
      </c>
      <c r="E10" s="3">
        <f t="shared" si="4"/>
        <v>0.91000947563246593</v>
      </c>
      <c r="F10" s="3">
        <f t="shared" si="4"/>
        <v>240.60190173572073</v>
      </c>
      <c r="G10" s="3">
        <f>+'[6]Colector Bombero Solis'!$AB$47</f>
        <v>32.036287948326319</v>
      </c>
      <c r="H10" s="3">
        <f t="shared" si="1"/>
        <v>9.3383214984778249</v>
      </c>
      <c r="K10" s="56">
        <f t="shared" si="5"/>
        <v>2026</v>
      </c>
      <c r="L10" s="9">
        <f>+'[6]Colector Bombero Solis'!$V$47</f>
        <v>4546.7667915909815</v>
      </c>
      <c r="M10" s="34">
        <f>+'[6]Colector Bombero Solis'!$U$47</f>
        <v>8.36905930740134</v>
      </c>
      <c r="N10" s="44">
        <f t="shared" si="6"/>
        <v>3.2829877868861761</v>
      </c>
      <c r="O10" s="34">
        <f t="shared" si="7"/>
        <v>27.475519493924679</v>
      </c>
      <c r="P10" s="34">
        <f t="shared" si="8"/>
        <v>1.6738118614802682</v>
      </c>
      <c r="Q10" s="34">
        <f t="shared" si="9"/>
        <v>29.149331355404946</v>
      </c>
      <c r="R10" s="35">
        <f>+'[6]Colector Bombero Solis'!$AA$47</f>
        <v>2.8869565929213694</v>
      </c>
      <c r="S10" s="69">
        <f t="shared" si="10"/>
        <v>32.036287948326319</v>
      </c>
      <c r="U10" s="46">
        <f t="shared" si="11"/>
        <v>32.036287948326319</v>
      </c>
      <c r="V10" s="46">
        <f t="shared" si="12"/>
        <v>0</v>
      </c>
    </row>
    <row r="11" spans="1:22" x14ac:dyDescent="0.3">
      <c r="B11" s="2">
        <f t="shared" si="2"/>
        <v>2027</v>
      </c>
      <c r="C11" s="3">
        <f t="shared" si="3"/>
        <v>41.374609446804143</v>
      </c>
      <c r="D11" s="3">
        <f t="shared" si="0"/>
        <v>41.374609446804143</v>
      </c>
      <c r="E11" s="3">
        <f t="shared" si="4"/>
        <v>0.91000947563246593</v>
      </c>
      <c r="F11" s="3">
        <f t="shared" si="4"/>
        <v>240.60190173572073</v>
      </c>
      <c r="G11" s="3">
        <f>+'[7]Colector Bombero Solis'!$AB$47</f>
        <v>32.304191600095521</v>
      </c>
      <c r="H11" s="3">
        <f t="shared" si="1"/>
        <v>9.0704178467086223</v>
      </c>
      <c r="K11" s="56">
        <f t="shared" si="5"/>
        <v>2027</v>
      </c>
      <c r="L11" s="9">
        <f>+'[7]Colector Bombero Solis'!$V$47</f>
        <v>4559.4990545742094</v>
      </c>
      <c r="M11" s="34">
        <f>+'[7]Colector Bombero Solis'!$U$47</f>
        <v>8.4445628117915437</v>
      </c>
      <c r="N11" s="44">
        <f t="shared" si="6"/>
        <v>3.2818776195438963</v>
      </c>
      <c r="O11" s="34">
        <f t="shared" si="7"/>
        <v>27.714021698851344</v>
      </c>
      <c r="P11" s="34">
        <f t="shared" si="8"/>
        <v>1.6889125623583088</v>
      </c>
      <c r="Q11" s="34">
        <f t="shared" si="9"/>
        <v>29.402934261209651</v>
      </c>
      <c r="R11" s="35">
        <f>+'[7]Colector Bombero Solis'!$AA$47</f>
        <v>2.9012573388858716</v>
      </c>
      <c r="S11" s="69">
        <f t="shared" si="10"/>
        <v>32.304191600095521</v>
      </c>
      <c r="U11" s="46">
        <f t="shared" si="11"/>
        <v>32.304191600095521</v>
      </c>
      <c r="V11" s="46">
        <f t="shared" si="12"/>
        <v>0</v>
      </c>
    </row>
    <row r="12" spans="1:22" x14ac:dyDescent="0.3">
      <c r="B12" s="2">
        <f t="shared" si="2"/>
        <v>2028</v>
      </c>
      <c r="C12" s="3">
        <f t="shared" si="3"/>
        <v>41.374609446804143</v>
      </c>
      <c r="D12" s="3">
        <f t="shared" si="0"/>
        <v>41.374609446804143</v>
      </c>
      <c r="E12" s="3">
        <f t="shared" si="4"/>
        <v>0.91000947563246593</v>
      </c>
      <c r="F12" s="3">
        <f t="shared" si="4"/>
        <v>240.60190173572073</v>
      </c>
      <c r="G12" s="3">
        <f>+'[8]Colector Bombero Solis'!$AB$47</f>
        <v>32.575392476001561</v>
      </c>
      <c r="H12" s="3">
        <f t="shared" si="1"/>
        <v>8.7992169708025827</v>
      </c>
      <c r="K12" s="56">
        <f t="shared" si="5"/>
        <v>2028</v>
      </c>
      <c r="L12" s="9">
        <f>+'[8]Colector Bombero Solis'!$V$47</f>
        <v>4572.3002026592385</v>
      </c>
      <c r="M12" s="34">
        <f>+'[8]Colector Bombero Solis'!$U$47</f>
        <v>8.521077724216255</v>
      </c>
      <c r="N12" s="44">
        <f t="shared" si="6"/>
        <v>3.2807640931059554</v>
      </c>
      <c r="O12" s="34">
        <f t="shared" si="7"/>
        <v>27.955645832173701</v>
      </c>
      <c r="P12" s="34">
        <f t="shared" si="8"/>
        <v>1.704215544843251</v>
      </c>
      <c r="Q12" s="34">
        <f t="shared" si="9"/>
        <v>29.659861377016952</v>
      </c>
      <c r="R12" s="35">
        <f>+'[8]Colector Bombero Solis'!$AA$47</f>
        <v>2.9155310989846059</v>
      </c>
      <c r="S12" s="69">
        <f t="shared" si="10"/>
        <v>32.575392476001561</v>
      </c>
      <c r="U12" s="46">
        <f t="shared" si="11"/>
        <v>32.575392476001561</v>
      </c>
      <c r="V12" s="46">
        <f t="shared" si="12"/>
        <v>0</v>
      </c>
    </row>
    <row r="13" spans="1:22" x14ac:dyDescent="0.3">
      <c r="B13" s="2">
        <f t="shared" si="2"/>
        <v>2029</v>
      </c>
      <c r="C13" s="3">
        <f t="shared" si="3"/>
        <v>41.374609446804143</v>
      </c>
      <c r="D13" s="3">
        <f t="shared" si="0"/>
        <v>41.374609446804143</v>
      </c>
      <c r="E13" s="3">
        <f t="shared" si="4"/>
        <v>0.91000947563246593</v>
      </c>
      <c r="F13" s="3">
        <f t="shared" si="4"/>
        <v>240.60190173572073</v>
      </c>
      <c r="G13" s="3">
        <f>+'[9]Colector Bombero Solis'!$AB$47</f>
        <v>32.847425061623142</v>
      </c>
      <c r="H13" s="3">
        <f t="shared" si="1"/>
        <v>8.5271843851810019</v>
      </c>
      <c r="K13" s="56">
        <f t="shared" si="5"/>
        <v>2029</v>
      </c>
      <c r="L13" s="9">
        <f>+'[9]Colector Bombero Solis'!$V$47</f>
        <v>4585.1472741454709</v>
      </c>
      <c r="M13" s="34">
        <f>+'[9]Colector Bombero Solis'!$U$47</f>
        <v>8.5979009911135247</v>
      </c>
      <c r="N13" s="44">
        <f t="shared" si="6"/>
        <v>3.2796492278280782</v>
      </c>
      <c r="O13" s="34">
        <f t="shared" si="7"/>
        <v>28.198099346447741</v>
      </c>
      <c r="P13" s="34">
        <f t="shared" si="8"/>
        <v>1.719580198222705</v>
      </c>
      <c r="Q13" s="34">
        <f t="shared" si="9"/>
        <v>29.917679544670445</v>
      </c>
      <c r="R13" s="35">
        <f>+'[9]Colector Bombero Solis'!$AA$47</f>
        <v>2.9297455169526994</v>
      </c>
      <c r="S13" s="69">
        <f t="shared" si="10"/>
        <v>32.847425061623142</v>
      </c>
      <c r="U13" s="46">
        <f t="shared" si="11"/>
        <v>32.847425061623142</v>
      </c>
      <c r="V13" s="46">
        <f t="shared" si="12"/>
        <v>0</v>
      </c>
    </row>
    <row r="14" spans="1:22" x14ac:dyDescent="0.3">
      <c r="B14" s="2">
        <f t="shared" si="2"/>
        <v>2030</v>
      </c>
      <c r="C14" s="3">
        <f t="shared" si="3"/>
        <v>41.374609446804143</v>
      </c>
      <c r="D14" s="3">
        <f t="shared" si="0"/>
        <v>41.374609446804143</v>
      </c>
      <c r="E14" s="3">
        <f t="shared" si="4"/>
        <v>0.91000947563246593</v>
      </c>
      <c r="F14" s="3">
        <f t="shared" si="4"/>
        <v>240.60190173572073</v>
      </c>
      <c r="G14" s="3">
        <f>+'[10]Colector Bombero Solis'!$AB$47</f>
        <v>33.122268369598714</v>
      </c>
      <c r="H14" s="3">
        <f t="shared" si="1"/>
        <v>8.2523410772054291</v>
      </c>
      <c r="K14" s="56">
        <f t="shared" si="5"/>
        <v>2030</v>
      </c>
      <c r="L14" s="9">
        <f>+'[10]Colector Bombero Solis'!$V$47</f>
        <v>4598.0632307335054</v>
      </c>
      <c r="M14" s="34">
        <f>+'[10]Colector Bombero Solis'!$U$47</f>
        <v>8.6755988082575435</v>
      </c>
      <c r="N14" s="44">
        <f t="shared" si="6"/>
        <v>3.2785310539062928</v>
      </c>
      <c r="O14" s="34">
        <f t="shared" si="7"/>
        <v>28.443220104104782</v>
      </c>
      <c r="P14" s="34">
        <f t="shared" si="8"/>
        <v>1.7351197616515088</v>
      </c>
      <c r="Q14" s="34">
        <f t="shared" si="9"/>
        <v>30.178339865756289</v>
      </c>
      <c r="R14" s="35">
        <f>+'[10]Colector Bombero Solis'!$AA$47</f>
        <v>2.9439285038424288</v>
      </c>
      <c r="S14" s="69">
        <f t="shared" si="10"/>
        <v>33.122268369598714</v>
      </c>
      <c r="U14" s="46">
        <f t="shared" si="11"/>
        <v>33.122268369598714</v>
      </c>
      <c r="V14" s="46">
        <f t="shared" si="12"/>
        <v>0</v>
      </c>
    </row>
    <row r="15" spans="1:22" x14ac:dyDescent="0.3">
      <c r="B15" s="2">
        <f t="shared" si="2"/>
        <v>2031</v>
      </c>
      <c r="C15" s="3">
        <f t="shared" si="3"/>
        <v>41.374609446804143</v>
      </c>
      <c r="D15" s="3">
        <f t="shared" si="0"/>
        <v>41.374609446804143</v>
      </c>
      <c r="E15" s="3">
        <f t="shared" si="4"/>
        <v>0.91000947563246593</v>
      </c>
      <c r="F15" s="3">
        <f t="shared" si="4"/>
        <v>240.60190173572073</v>
      </c>
      <c r="G15" s="3">
        <f>+'[11]Colector Bombero Solis'!$AB$47</f>
        <v>33.399417001654911</v>
      </c>
      <c r="H15" s="3">
        <f t="shared" si="1"/>
        <v>7.9751924451492329</v>
      </c>
      <c r="K15" s="56">
        <f t="shared" si="5"/>
        <v>2031</v>
      </c>
      <c r="L15" s="9">
        <f>+'[11]Colector Bombero Solis'!$V$47</f>
        <v>4611.048072423343</v>
      </c>
      <c r="M15" s="34">
        <f>+'[11]Colector Bombero Solis'!$U$47</f>
        <v>8.754027729148838</v>
      </c>
      <c r="N15" s="44">
        <f t="shared" si="6"/>
        <v>3.2774096011783524</v>
      </c>
      <c r="O15" s="34">
        <f t="shared" si="7"/>
        <v>28.690534528493931</v>
      </c>
      <c r="P15" s="34">
        <f t="shared" si="8"/>
        <v>1.7508055458297678</v>
      </c>
      <c r="Q15" s="34">
        <f t="shared" si="9"/>
        <v>30.441340074323698</v>
      </c>
      <c r="R15" s="35">
        <f>+'[11]Colector Bombero Solis'!$AA$47</f>
        <v>2.9580769273312164</v>
      </c>
      <c r="S15" s="69">
        <f t="shared" si="10"/>
        <v>33.399417001654911</v>
      </c>
      <c r="U15" s="46">
        <f t="shared" si="11"/>
        <v>33.399417001654911</v>
      </c>
      <c r="V15" s="46">
        <f t="shared" si="12"/>
        <v>0</v>
      </c>
    </row>
    <row r="16" spans="1:22" x14ac:dyDescent="0.3">
      <c r="B16" s="2">
        <f t="shared" si="2"/>
        <v>2032</v>
      </c>
      <c r="C16" s="3">
        <f t="shared" si="3"/>
        <v>41.374609446804143</v>
      </c>
      <c r="D16" s="3">
        <f t="shared" si="0"/>
        <v>41.374609446804143</v>
      </c>
      <c r="E16" s="3">
        <f t="shared" si="4"/>
        <v>0.91000947563246593</v>
      </c>
      <c r="F16" s="3">
        <f t="shared" si="4"/>
        <v>240.60190173572073</v>
      </c>
      <c r="G16" s="3">
        <f>+'[12]Colector Bombero Solis'!$AB$47</f>
        <v>33.679888682284741</v>
      </c>
      <c r="H16" s="3">
        <f t="shared" si="1"/>
        <v>7.6947207645194027</v>
      </c>
      <c r="K16" s="56">
        <f t="shared" si="5"/>
        <v>2032</v>
      </c>
      <c r="L16" s="9">
        <f>+'[12]Colector Bombero Solis'!$V$47</f>
        <v>4624.1017992149837</v>
      </c>
      <c r="M16" s="34">
        <f>+'[12]Colector Bombero Solis'!$U$47</f>
        <v>8.833481103155755</v>
      </c>
      <c r="N16" s="44">
        <f t="shared" si="6"/>
        <v>3.2762848993930245</v>
      </c>
      <c r="O16" s="34">
        <f t="shared" si="7"/>
        <v>28.941000747342837</v>
      </c>
      <c r="P16" s="34">
        <f t="shared" si="8"/>
        <v>1.7666962206311512</v>
      </c>
      <c r="Q16" s="34">
        <f t="shared" si="9"/>
        <v>30.707696967973988</v>
      </c>
      <c r="R16" s="35">
        <f>+'[12]Colector Bombero Solis'!$AA$47</f>
        <v>2.9721917143107568</v>
      </c>
      <c r="S16" s="69">
        <f t="shared" si="10"/>
        <v>33.679888682284741</v>
      </c>
      <c r="U16" s="46">
        <f t="shared" si="11"/>
        <v>33.679888682284741</v>
      </c>
      <c r="V16" s="46">
        <f t="shared" si="12"/>
        <v>0</v>
      </c>
    </row>
    <row r="17" spans="2:22" x14ac:dyDescent="0.3">
      <c r="B17" s="2">
        <f t="shared" si="2"/>
        <v>2033</v>
      </c>
      <c r="C17" s="3">
        <f t="shared" si="3"/>
        <v>41.374609446804143</v>
      </c>
      <c r="D17" s="3">
        <f t="shared" si="0"/>
        <v>41.374609446804143</v>
      </c>
      <c r="E17" s="3">
        <f t="shared" si="4"/>
        <v>0.91000947563246593</v>
      </c>
      <c r="F17" s="3">
        <f t="shared" si="4"/>
        <v>240.60190173572073</v>
      </c>
      <c r="G17" s="3">
        <f>+'[13]Colector Bombero Solis'!$AB$47</f>
        <v>33.961108278571629</v>
      </c>
      <c r="H17" s="3">
        <f t="shared" si="1"/>
        <v>7.4135011682325143</v>
      </c>
      <c r="K17" s="56">
        <f t="shared" si="5"/>
        <v>2033</v>
      </c>
      <c r="L17" s="9">
        <f>+'[13]Colector Bombero Solis'!$V$47</f>
        <v>4637.2358919587277</v>
      </c>
      <c r="M17" s="34">
        <f>+'[13]Colector Bombero Solis'!$U$47</f>
        <v>8.9132207475209313</v>
      </c>
      <c r="N17" s="44">
        <f t="shared" si="6"/>
        <v>3.2751559925893647</v>
      </c>
      <c r="O17" s="34">
        <f t="shared" si="7"/>
        <v>29.192188344515035</v>
      </c>
      <c r="P17" s="34">
        <f t="shared" si="8"/>
        <v>1.7826441495041863</v>
      </c>
      <c r="Q17" s="34">
        <f t="shared" si="9"/>
        <v>30.974832494019221</v>
      </c>
      <c r="R17" s="35">
        <f>+'[13]Colector Bombero Solis'!$AA$47</f>
        <v>2.9862757845524053</v>
      </c>
      <c r="S17" s="69">
        <f t="shared" si="10"/>
        <v>33.961108278571629</v>
      </c>
      <c r="U17" s="46">
        <f t="shared" si="11"/>
        <v>33.961108278571629</v>
      </c>
      <c r="V17" s="46">
        <f t="shared" si="12"/>
        <v>0</v>
      </c>
    </row>
    <row r="18" spans="2:22" x14ac:dyDescent="0.3">
      <c r="B18" s="2">
        <f t="shared" si="2"/>
        <v>2034</v>
      </c>
      <c r="C18" s="3">
        <f t="shared" si="3"/>
        <v>41.374609446804143</v>
      </c>
      <c r="D18" s="3">
        <f t="shared" si="0"/>
        <v>41.374609446804143</v>
      </c>
      <c r="E18" s="3">
        <f t="shared" si="4"/>
        <v>0.91000947563246593</v>
      </c>
      <c r="F18" s="3">
        <f t="shared" si="4"/>
        <v>240.60190173572073</v>
      </c>
      <c r="G18" s="3">
        <f>+'[14]Colector Bombero Solis'!$AB$47</f>
        <v>34.245144679532075</v>
      </c>
      <c r="H18" s="3">
        <f t="shared" si="1"/>
        <v>7.1294647672720686</v>
      </c>
      <c r="K18" s="56">
        <f t="shared" si="5"/>
        <v>2034</v>
      </c>
      <c r="L18" s="9">
        <f>+'[14]Colector Bombero Solis'!$V$47</f>
        <v>4650.4159081036732</v>
      </c>
      <c r="M18" s="34">
        <f>+'[14]Colector Bombero Solis'!$U$47</f>
        <v>8.9938439811660409</v>
      </c>
      <c r="N18" s="44">
        <f t="shared" si="6"/>
        <v>3.2740258671924232</v>
      </c>
      <c r="O18" s="34">
        <f t="shared" si="7"/>
        <v>29.446077839830501</v>
      </c>
      <c r="P18" s="34">
        <f t="shared" si="8"/>
        <v>1.7987687962332082</v>
      </c>
      <c r="Q18" s="34">
        <f t="shared" si="9"/>
        <v>31.244846636063709</v>
      </c>
      <c r="R18" s="35">
        <f>+'[14]Colector Bombero Solis'!$AA$47</f>
        <v>3.000298043468363</v>
      </c>
      <c r="S18" s="69">
        <f t="shared" si="10"/>
        <v>34.245144679532075</v>
      </c>
      <c r="U18" s="46">
        <f t="shared" si="11"/>
        <v>34.245144679532075</v>
      </c>
      <c r="V18" s="46">
        <f t="shared" si="12"/>
        <v>0</v>
      </c>
    </row>
    <row r="19" spans="2:22" x14ac:dyDescent="0.3">
      <c r="B19" s="2">
        <f t="shared" si="2"/>
        <v>2035</v>
      </c>
      <c r="C19" s="3">
        <f t="shared" si="3"/>
        <v>41.374609446804143</v>
      </c>
      <c r="D19" s="3">
        <f t="shared" si="0"/>
        <v>41.374609446804143</v>
      </c>
      <c r="E19" s="3">
        <f t="shared" si="4"/>
        <v>0.91000947563246593</v>
      </c>
      <c r="F19" s="3">
        <f t="shared" si="4"/>
        <v>240.60190173572073</v>
      </c>
      <c r="G19" s="3">
        <f>+'[15]Colector Bombero Solis'!$AB$47</f>
        <v>34.531472546330484</v>
      </c>
      <c r="H19" s="3">
        <f t="shared" si="1"/>
        <v>6.8431369004736595</v>
      </c>
      <c r="K19" s="56">
        <f t="shared" si="5"/>
        <v>2035</v>
      </c>
      <c r="L19" s="9">
        <f>+'[15]Colector Bombero Solis'!$V$47</f>
        <v>4663.6877710510234</v>
      </c>
      <c r="M19" s="34">
        <f>+'[15]Colector Bombero Solis'!$U$47</f>
        <v>9.075198318558428</v>
      </c>
      <c r="N19" s="44">
        <f t="shared" si="6"/>
        <v>3.2728906149539347</v>
      </c>
      <c r="O19" s="34">
        <f t="shared" si="7"/>
        <v>29.702131405655606</v>
      </c>
      <c r="P19" s="34">
        <f t="shared" si="8"/>
        <v>1.8150396637116857</v>
      </c>
      <c r="Q19" s="34">
        <f t="shared" si="9"/>
        <v>31.517171069367294</v>
      </c>
      <c r="R19" s="35">
        <f>+'[15]Colector Bombero Solis'!$AA$47</f>
        <v>3.0143014769631931</v>
      </c>
      <c r="S19" s="69">
        <f t="shared" si="10"/>
        <v>34.531472546330484</v>
      </c>
      <c r="U19" s="46">
        <f t="shared" si="11"/>
        <v>34.531472546330484</v>
      </c>
      <c r="V19" s="46">
        <f t="shared" si="12"/>
        <v>0</v>
      </c>
    </row>
    <row r="20" spans="2:22" x14ac:dyDescent="0.3">
      <c r="B20" s="2">
        <f t="shared" si="2"/>
        <v>2036</v>
      </c>
      <c r="C20" s="3">
        <f t="shared" si="3"/>
        <v>41.374609446804143</v>
      </c>
      <c r="D20" s="3">
        <f t="shared" si="0"/>
        <v>41.374609446804143</v>
      </c>
      <c r="E20" s="3">
        <f t="shared" si="4"/>
        <v>0.91000947563246593</v>
      </c>
      <c r="F20" s="3">
        <f t="shared" si="4"/>
        <v>240.60190173572073</v>
      </c>
      <c r="G20" s="3">
        <f>+'[16]Colector Bombero Solis'!$AB$47</f>
        <v>34.821145626170583</v>
      </c>
      <c r="H20" s="3">
        <f t="shared" si="1"/>
        <v>6.55346382063356</v>
      </c>
      <c r="K20" s="56">
        <f t="shared" si="5"/>
        <v>2036</v>
      </c>
      <c r="L20" s="9">
        <f>+'[16]Colector Bombero Solis'!$V$47</f>
        <v>4677.0170382498745</v>
      </c>
      <c r="M20" s="34">
        <f>+'[16]Colector Bombero Solis'!$U$47</f>
        <v>9.1575901541475559</v>
      </c>
      <c r="N20" s="44">
        <f t="shared" si="6"/>
        <v>3.2717532149800039</v>
      </c>
      <c r="O20" s="34">
        <f t="shared" si="7"/>
        <v>29.961375028301497</v>
      </c>
      <c r="P20" s="34">
        <f t="shared" si="8"/>
        <v>1.8315180308295114</v>
      </c>
      <c r="Q20" s="34">
        <f t="shared" si="9"/>
        <v>31.792893059131007</v>
      </c>
      <c r="R20" s="35">
        <f>+'[16]Colector Bombero Solis'!$AA$47</f>
        <v>3.0282525670395777</v>
      </c>
      <c r="S20" s="69">
        <f t="shared" si="10"/>
        <v>34.821145626170583</v>
      </c>
      <c r="U20" s="46">
        <f t="shared" si="11"/>
        <v>34.821145626170583</v>
      </c>
      <c r="V20" s="46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41.374609446804143</v>
      </c>
      <c r="D21" s="3">
        <f t="shared" si="0"/>
        <v>41.374609446804143</v>
      </c>
      <c r="E21" s="3">
        <f t="shared" si="4"/>
        <v>0.91000947563246593</v>
      </c>
      <c r="F21" s="3">
        <f t="shared" si="4"/>
        <v>240.60190173572073</v>
      </c>
      <c r="G21" s="3">
        <f>+'[17]Colector Bombero Solis'!$AB$47</f>
        <v>35.111471799411319</v>
      </c>
      <c r="H21" s="3">
        <f>+D21-G21</f>
        <v>6.2631376473928242</v>
      </c>
      <c r="I21" s="13">
        <f>+G21/G6-1</f>
        <v>0.13625776687434188</v>
      </c>
      <c r="K21" s="58">
        <f t="shared" si="5"/>
        <v>2037</v>
      </c>
      <c r="L21" s="59">
        <f>+'[17]Colector Bombero Solis'!$V$47</f>
        <v>4690.4266714008299</v>
      </c>
      <c r="M21" s="60">
        <f>+'[17]Colector Bombero Solis'!$U$47</f>
        <v>9.2402461759806407</v>
      </c>
      <c r="N21" s="61">
        <f t="shared" si="6"/>
        <v>3.2706117372090491</v>
      </c>
      <c r="O21" s="60">
        <f t="shared" si="7"/>
        <v>30.221257597863318</v>
      </c>
      <c r="P21" s="60">
        <f t="shared" si="8"/>
        <v>1.8480492351961282</v>
      </c>
      <c r="Q21" s="60">
        <f t="shared" si="9"/>
        <v>32.069306833059443</v>
      </c>
      <c r="R21" s="65">
        <f>+'[17]Colector Bombero Solis'!$AA$47</f>
        <v>3.0421649663518773</v>
      </c>
      <c r="S21" s="70">
        <f t="shared" si="10"/>
        <v>35.111471799411319</v>
      </c>
      <c r="U21" s="46">
        <f>+G21</f>
        <v>35.111471799411319</v>
      </c>
      <c r="V21" s="46">
        <f t="shared" si="12"/>
        <v>0</v>
      </c>
    </row>
    <row r="22" spans="2:22" x14ac:dyDescent="0.3">
      <c r="L22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1:V24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5" width="11.44140625" style="12"/>
    <col min="6" max="6" width="9.77734375" style="12" customWidth="1"/>
    <col min="7" max="16384" width="11.44140625" style="12"/>
  </cols>
  <sheetData>
    <row r="1" spans="1:22" ht="13.8" thickBot="1" x14ac:dyDescent="0.35"/>
    <row r="2" spans="1:22" x14ac:dyDescent="0.3">
      <c r="B2" s="5" t="s">
        <v>11</v>
      </c>
      <c r="E2" s="6" t="s">
        <v>7</v>
      </c>
      <c r="F2" s="7">
        <f>+'[17]Colector Bueras-Simpson'!$N$38</f>
        <v>1586.6799999999998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161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L4" s="12" t="s">
        <v>162</v>
      </c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Simpson'!B6</f>
        <v>2022</v>
      </c>
      <c r="C6" s="3">
        <f>+SUMPRODUCT('[17]Colector Bueras-Simpson'!$AL$17:$AL$38,'[17]Colector Bueras-Simpson'!$M$17:$M$38)/F2</f>
        <v>305.49101581441107</v>
      </c>
      <c r="D6" s="3">
        <f t="shared" ref="D6:D21" si="0">+C6</f>
        <v>305.49101581441107</v>
      </c>
      <c r="E6" s="3">
        <f>D6/(0.25*PI()*(F6/1000)^2)/1000</f>
        <v>1.555852967584892</v>
      </c>
      <c r="F6" s="3">
        <f>+SUMPRODUCT('[17]Colector Bueras-Simpson'!$F$17:$F$38,'[17]Colector Bueras-Simpson'!$M$17:$M$38)/F2</f>
        <v>500.00000000000006</v>
      </c>
      <c r="G6" s="3">
        <f>+'[2]Colector Bueras-Simpson'!$AB$38</f>
        <v>113.83951582660222</v>
      </c>
      <c r="H6" s="3">
        <f t="shared" ref="H6:H21" si="1">+D6-G6</f>
        <v>191.65149998780885</v>
      </c>
      <c r="K6" s="56">
        <f>+B6</f>
        <v>2022</v>
      </c>
      <c r="L6" s="9">
        <f>+'[2]Colector Bueras-Simpson'!$V$38</f>
        <v>5298.6020611214672</v>
      </c>
      <c r="M6" s="34">
        <f>+'[2]Colector Bueras-Simpson'!$U$38</f>
        <v>11.378297734909536</v>
      </c>
      <c r="N6" s="44">
        <f>1+(14/(4+(SQRT(L6/1000))))</f>
        <v>3.2215630690503523</v>
      </c>
      <c r="O6" s="34">
        <f>+N6*M6</f>
        <v>36.655903771443839</v>
      </c>
      <c r="P6" s="34">
        <f>+$P$4*M6</f>
        <v>2.2756595469819074</v>
      </c>
      <c r="Q6" s="34">
        <f>+P6+O6</f>
        <v>38.931563318425745</v>
      </c>
      <c r="R6" s="35">
        <f>+'[2]Colector Bueras-Simpson'!$AA$38</f>
        <v>74.907952508176479</v>
      </c>
      <c r="S6" s="69">
        <f>+R6+Q6</f>
        <v>113.83951582660222</v>
      </c>
      <c r="U6" s="46">
        <f>+G6</f>
        <v>113.83951582660222</v>
      </c>
      <c r="V6" s="46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305.49101581441107</v>
      </c>
      <c r="D7" s="3">
        <f t="shared" si="0"/>
        <v>305.49101581441107</v>
      </c>
      <c r="E7" s="3">
        <f t="shared" ref="E7:F21" si="4">+E6</f>
        <v>1.555852967584892</v>
      </c>
      <c r="F7" s="3">
        <f t="shared" si="4"/>
        <v>500.00000000000006</v>
      </c>
      <c r="G7" s="3">
        <f>+'[3]Colector Bueras-Simpson'!$AB$38</f>
        <v>116.53364209489192</v>
      </c>
      <c r="H7" s="3">
        <f t="shared" si="1"/>
        <v>188.95737371951915</v>
      </c>
      <c r="K7" s="56">
        <f t="shared" ref="K7:K21" si="5">+B7</f>
        <v>2023</v>
      </c>
      <c r="L7" s="9">
        <f>+'[3]Colector Bueras-Simpson'!$V$38</f>
        <v>5314.6943339710506</v>
      </c>
      <c r="M7" s="34">
        <f>+'[3]Colector Bueras-Simpson'!$U$38</f>
        <v>11.505751921167468</v>
      </c>
      <c r="N7" s="44">
        <f t="shared" ref="N7:N21" si="6">1+(14/(4+(SQRT(L7/1000))))</f>
        <v>3.2203324433392249</v>
      </c>
      <c r="O7" s="34">
        <f t="shared" ref="O7:O21" si="7">+N7*M7</f>
        <v>37.052346196748211</v>
      </c>
      <c r="P7" s="34">
        <f t="shared" ref="P7:P21" si="8">+$P$4*M7</f>
        <v>2.3011503842334937</v>
      </c>
      <c r="Q7" s="34">
        <f t="shared" ref="Q7:Q21" si="9">+P7+O7</f>
        <v>39.353496580981705</v>
      </c>
      <c r="R7" s="35">
        <f>+'[3]Colector Bueras-Simpson'!$AA$38</f>
        <v>77.180145513910205</v>
      </c>
      <c r="S7" s="69">
        <f t="shared" ref="S7:S21" si="10">+R7+Q7</f>
        <v>116.53364209489192</v>
      </c>
      <c r="U7" s="46">
        <f t="shared" ref="U7:U20" si="11">+G7</f>
        <v>116.53364209489192</v>
      </c>
      <c r="V7" s="46">
        <f t="shared" ref="V7:V21" si="12">+S7-U7</f>
        <v>0</v>
      </c>
    </row>
    <row r="8" spans="1:22" x14ac:dyDescent="0.3">
      <c r="B8" s="2">
        <f t="shared" si="2"/>
        <v>2024</v>
      </c>
      <c r="C8" s="3">
        <f t="shared" si="3"/>
        <v>305.49101581441107</v>
      </c>
      <c r="D8" s="3">
        <f t="shared" si="0"/>
        <v>305.49101581441107</v>
      </c>
      <c r="E8" s="3">
        <f t="shared" si="4"/>
        <v>1.555852967584892</v>
      </c>
      <c r="F8" s="3">
        <f t="shared" si="4"/>
        <v>500.00000000000006</v>
      </c>
      <c r="G8" s="3">
        <f>+'[4]Colector Bueras-Simpson'!$AB$38</f>
        <v>118.54074500956919</v>
      </c>
      <c r="H8" s="3">
        <f t="shared" si="1"/>
        <v>186.95027080484186</v>
      </c>
      <c r="K8" s="56">
        <f t="shared" si="5"/>
        <v>2024</v>
      </c>
      <c r="L8" s="9">
        <f>+'[4]Colector Bueras-Simpson'!$V$38</f>
        <v>5330.8604923709063</v>
      </c>
      <c r="M8" s="34">
        <f>+'[4]Colector Bueras-Simpson'!$U$38</f>
        <v>11.60211939447758</v>
      </c>
      <c r="N8" s="44">
        <f t="shared" si="6"/>
        <v>3.2190994108103275</v>
      </c>
      <c r="O8" s="34">
        <f t="shared" si="7"/>
        <v>37.348375706913849</v>
      </c>
      <c r="P8" s="34">
        <f t="shared" si="8"/>
        <v>2.3204238788955158</v>
      </c>
      <c r="Q8" s="34">
        <f t="shared" si="9"/>
        <v>39.668799585809367</v>
      </c>
      <c r="R8" s="35">
        <f>+'[4]Colector Bueras-Simpson'!$AA$38</f>
        <v>78.871945423759826</v>
      </c>
      <c r="S8" s="69">
        <f t="shared" si="10"/>
        <v>118.54074500956919</v>
      </c>
      <c r="U8" s="46">
        <f t="shared" si="11"/>
        <v>118.54074500956919</v>
      </c>
      <c r="V8" s="46">
        <f t="shared" si="12"/>
        <v>0</v>
      </c>
    </row>
    <row r="9" spans="1:22" x14ac:dyDescent="0.3">
      <c r="B9" s="2">
        <f t="shared" si="2"/>
        <v>2025</v>
      </c>
      <c r="C9" s="3">
        <f t="shared" si="3"/>
        <v>305.49101581441107</v>
      </c>
      <c r="D9" s="3">
        <f t="shared" si="0"/>
        <v>305.49101581441107</v>
      </c>
      <c r="E9" s="3">
        <f t="shared" si="4"/>
        <v>1.555852967584892</v>
      </c>
      <c r="F9" s="3">
        <f t="shared" si="4"/>
        <v>500.00000000000006</v>
      </c>
      <c r="G9" s="3">
        <f>+'[5]Colector Bueras-Simpson'!$AB$38</f>
        <v>120.55327027378911</v>
      </c>
      <c r="H9" s="3">
        <f t="shared" si="1"/>
        <v>184.93774554062196</v>
      </c>
      <c r="K9" s="56">
        <f t="shared" si="5"/>
        <v>2025</v>
      </c>
      <c r="L9" s="9">
        <f>+'[5]Colector Bueras-Simpson'!$V$38</f>
        <v>5347.0857592109824</v>
      </c>
      <c r="M9" s="34">
        <f>+'[5]Colector Bueras-Simpson'!$U$38</f>
        <v>11.698919662946128</v>
      </c>
      <c r="N9" s="44">
        <f t="shared" si="6"/>
        <v>3.2178651215111969</v>
      </c>
      <c r="O9" s="34">
        <f t="shared" si="7"/>
        <v>37.645545542755876</v>
      </c>
      <c r="P9" s="34">
        <f t="shared" si="8"/>
        <v>2.3397839325892256</v>
      </c>
      <c r="Q9" s="34">
        <f t="shared" si="9"/>
        <v>39.985329475345104</v>
      </c>
      <c r="R9" s="35">
        <f>+'[5]Colector Bueras-Simpson'!$AA$38</f>
        <v>80.567940798443999</v>
      </c>
      <c r="S9" s="69">
        <f t="shared" si="10"/>
        <v>120.55327027378911</v>
      </c>
      <c r="U9" s="46">
        <f t="shared" si="11"/>
        <v>120.55327027378911</v>
      </c>
      <c r="V9" s="46">
        <f t="shared" si="12"/>
        <v>0</v>
      </c>
    </row>
    <row r="10" spans="1:22" x14ac:dyDescent="0.3">
      <c r="B10" s="2">
        <f t="shared" si="2"/>
        <v>2026</v>
      </c>
      <c r="C10" s="3">
        <f t="shared" si="3"/>
        <v>305.49101581441107</v>
      </c>
      <c r="D10" s="3">
        <f t="shared" si="0"/>
        <v>305.49101581441107</v>
      </c>
      <c r="E10" s="3">
        <f t="shared" si="4"/>
        <v>1.555852967584892</v>
      </c>
      <c r="F10" s="3">
        <f t="shared" si="4"/>
        <v>500.00000000000006</v>
      </c>
      <c r="G10" s="3">
        <f>+'[6]Colector Bueras-Simpson'!$AB$38</f>
        <v>122.586340611594</v>
      </c>
      <c r="H10" s="3">
        <f t="shared" si="1"/>
        <v>182.90467520281709</v>
      </c>
      <c r="K10" s="56">
        <f t="shared" si="5"/>
        <v>2026</v>
      </c>
      <c r="L10" s="9">
        <f>+'[6]Colector Bueras-Simpson'!$V$38</f>
        <v>5363.3996887113863</v>
      </c>
      <c r="M10" s="34">
        <f>+'[6]Colector Bueras-Simpson'!$U$38</f>
        <v>11.796853543158889</v>
      </c>
      <c r="N10" s="44">
        <f t="shared" si="6"/>
        <v>3.2166273544666173</v>
      </c>
      <c r="O10" s="34">
        <f t="shared" si="7"/>
        <v>37.94608180356132</v>
      </c>
      <c r="P10" s="34">
        <f t="shared" si="8"/>
        <v>2.3593707086317779</v>
      </c>
      <c r="Q10" s="34">
        <f t="shared" si="9"/>
        <v>40.305452512193099</v>
      </c>
      <c r="R10" s="35">
        <f>+'[6]Colector Bueras-Simpson'!$AA$38</f>
        <v>82.280888099400897</v>
      </c>
      <c r="S10" s="69">
        <f t="shared" si="10"/>
        <v>122.586340611594</v>
      </c>
      <c r="U10" s="46">
        <f t="shared" si="11"/>
        <v>122.586340611594</v>
      </c>
      <c r="V10" s="46">
        <f t="shared" si="12"/>
        <v>0</v>
      </c>
    </row>
    <row r="11" spans="1:22" x14ac:dyDescent="0.3">
      <c r="B11" s="2">
        <f t="shared" si="2"/>
        <v>2027</v>
      </c>
      <c r="C11" s="3">
        <f t="shared" si="3"/>
        <v>305.49101581441107</v>
      </c>
      <c r="D11" s="3">
        <f t="shared" si="0"/>
        <v>305.49101581441107</v>
      </c>
      <c r="E11" s="3">
        <f t="shared" si="4"/>
        <v>1.555852967584892</v>
      </c>
      <c r="F11" s="3">
        <f t="shared" si="4"/>
        <v>500.00000000000006</v>
      </c>
      <c r="G11" s="3">
        <f>+'[7]Colector Bueras-Simpson'!$AB$38</f>
        <v>124.63614955218821</v>
      </c>
      <c r="H11" s="3">
        <f t="shared" si="1"/>
        <v>180.85486626222286</v>
      </c>
      <c r="K11" s="56">
        <f t="shared" si="5"/>
        <v>2027</v>
      </c>
      <c r="L11" s="9">
        <f>+'[7]Colector Bueras-Simpson'!$V$38</f>
        <v>5379.7875037620624</v>
      </c>
      <c r="M11" s="34">
        <f>+'[7]Colector Bueras-Simpson'!$U$38</f>
        <v>11.895744993627432</v>
      </c>
      <c r="N11" s="44">
        <f t="shared" si="6"/>
        <v>3.2153872624319009</v>
      </c>
      <c r="O11" s="34">
        <f t="shared" si="7"/>
        <v>38.249426929647697</v>
      </c>
      <c r="P11" s="34">
        <f t="shared" si="8"/>
        <v>2.3791489987254866</v>
      </c>
      <c r="Q11" s="34">
        <f t="shared" si="9"/>
        <v>40.628575928373181</v>
      </c>
      <c r="R11" s="35">
        <f>+'[7]Colector Bueras-Simpson'!$AA$38</f>
        <v>84.007573623815034</v>
      </c>
      <c r="S11" s="69">
        <f t="shared" si="10"/>
        <v>124.63614955218821</v>
      </c>
      <c r="U11" s="46">
        <f t="shared" si="11"/>
        <v>124.63614955218821</v>
      </c>
      <c r="V11" s="46">
        <f t="shared" si="12"/>
        <v>0</v>
      </c>
    </row>
    <row r="12" spans="1:22" x14ac:dyDescent="0.3">
      <c r="B12" s="2">
        <f t="shared" si="2"/>
        <v>2028</v>
      </c>
      <c r="C12" s="3">
        <f t="shared" si="3"/>
        <v>305.49101581441107</v>
      </c>
      <c r="D12" s="3">
        <f t="shared" si="0"/>
        <v>305.49101581441107</v>
      </c>
      <c r="E12" s="3">
        <f t="shared" si="4"/>
        <v>1.555852967584892</v>
      </c>
      <c r="F12" s="3">
        <f t="shared" si="4"/>
        <v>500.00000000000006</v>
      </c>
      <c r="G12" s="3">
        <f>+'[8]Colector Bueras-Simpson'!$AB$38</f>
        <v>126.71056250507246</v>
      </c>
      <c r="H12" s="3">
        <f t="shared" si="1"/>
        <v>178.78045330933861</v>
      </c>
      <c r="K12" s="56">
        <f t="shared" si="5"/>
        <v>2028</v>
      </c>
      <c r="L12" s="9">
        <f>+'[8]Colector Bueras-Simpson'!$V$38</f>
        <v>5396.2639814730683</v>
      </c>
      <c r="M12" s="34">
        <f>+'[8]Colector Bueras-Simpson'!$U$38</f>
        <v>11.995961145622823</v>
      </c>
      <c r="N12" s="44">
        <f t="shared" si="6"/>
        <v>3.214143758653528</v>
      </c>
      <c r="O12" s="34">
        <f t="shared" si="7"/>
        <v>38.556743645253825</v>
      </c>
      <c r="P12" s="34">
        <f t="shared" si="8"/>
        <v>2.3991922291245649</v>
      </c>
      <c r="Q12" s="34">
        <f t="shared" si="9"/>
        <v>40.95593587437839</v>
      </c>
      <c r="R12" s="35">
        <f>+'[8]Colector Bueras-Simpson'!$AA$38</f>
        <v>85.754626630694062</v>
      </c>
      <c r="S12" s="69">
        <f t="shared" si="10"/>
        <v>126.71056250507246</v>
      </c>
      <c r="U12" s="46">
        <f t="shared" si="11"/>
        <v>126.71056250507246</v>
      </c>
      <c r="V12" s="46">
        <f t="shared" si="12"/>
        <v>0</v>
      </c>
    </row>
    <row r="13" spans="1:22" x14ac:dyDescent="0.3">
      <c r="B13" s="2">
        <f t="shared" si="2"/>
        <v>2029</v>
      </c>
      <c r="C13" s="3">
        <f t="shared" si="3"/>
        <v>305.49101581441107</v>
      </c>
      <c r="D13" s="3">
        <f t="shared" si="0"/>
        <v>305.49101581441107</v>
      </c>
      <c r="E13" s="3">
        <f t="shared" si="4"/>
        <v>1.555852967584892</v>
      </c>
      <c r="F13" s="3">
        <f t="shared" si="4"/>
        <v>500.00000000000006</v>
      </c>
      <c r="G13" s="3">
        <f>+'[9]Colector Bueras-Simpson'!$AB$38</f>
        <v>128.7896353884762</v>
      </c>
      <c r="H13" s="3">
        <f t="shared" si="1"/>
        <v>176.70138042593487</v>
      </c>
      <c r="K13" s="56">
        <f t="shared" si="5"/>
        <v>2029</v>
      </c>
      <c r="L13" s="9">
        <f>+'[9]Colector Bueras-Simpson'!$V$38</f>
        <v>5412.7995676242936</v>
      </c>
      <c r="M13" s="34">
        <f>+'[9]Colector Bueras-Simpson'!$U$38</f>
        <v>12.096581167892793</v>
      </c>
      <c r="N13" s="44">
        <f t="shared" si="6"/>
        <v>3.2128991005238321</v>
      </c>
      <c r="O13" s="34">
        <f t="shared" si="7"/>
        <v>38.86509475373628</v>
      </c>
      <c r="P13" s="34">
        <f t="shared" si="8"/>
        <v>2.419316233578559</v>
      </c>
      <c r="Q13" s="34">
        <f t="shared" si="9"/>
        <v>41.284410987314835</v>
      </c>
      <c r="R13" s="35">
        <f>+'[9]Colector Bueras-Simpson'!$AA$38</f>
        <v>87.505224401161371</v>
      </c>
      <c r="S13" s="69">
        <f t="shared" si="10"/>
        <v>128.7896353884762</v>
      </c>
      <c r="U13" s="46">
        <f t="shared" si="11"/>
        <v>128.7896353884762</v>
      </c>
      <c r="V13" s="46">
        <f t="shared" si="12"/>
        <v>0</v>
      </c>
    </row>
    <row r="14" spans="1:22" x14ac:dyDescent="0.3">
      <c r="B14" s="2">
        <f t="shared" si="2"/>
        <v>2030</v>
      </c>
      <c r="C14" s="3">
        <f t="shared" si="3"/>
        <v>305.49101581441107</v>
      </c>
      <c r="D14" s="3">
        <f t="shared" si="0"/>
        <v>305.49101581441107</v>
      </c>
      <c r="E14" s="3">
        <f t="shared" si="4"/>
        <v>1.555852967584892</v>
      </c>
      <c r="F14" s="3">
        <f t="shared" si="4"/>
        <v>500.00000000000006</v>
      </c>
      <c r="G14" s="3">
        <f>+'[10]Colector Bueras-Simpson'!$AB$38</f>
        <v>130.88930740055255</v>
      </c>
      <c r="H14" s="3">
        <f t="shared" si="1"/>
        <v>174.60170841385852</v>
      </c>
      <c r="K14" s="56">
        <f t="shared" si="5"/>
        <v>2030</v>
      </c>
      <c r="L14" s="9">
        <f>+'[10]Colector Bueras-Simpson'!$V$38</f>
        <v>5429.4238164358449</v>
      </c>
      <c r="M14" s="34">
        <f>+'[10]Colector Bueras-Simpson'!$U$38</f>
        <v>12.198346640868754</v>
      </c>
      <c r="N14" s="44">
        <f t="shared" si="6"/>
        <v>3.211651090208496</v>
      </c>
      <c r="O14" s="34">
        <f t="shared" si="7"/>
        <v>39.176833287887284</v>
      </c>
      <c r="P14" s="34">
        <f t="shared" si="8"/>
        <v>2.4396693281737512</v>
      </c>
      <c r="Q14" s="34">
        <f t="shared" si="9"/>
        <v>41.616502616061034</v>
      </c>
      <c r="R14" s="35">
        <f>+'[10]Colector Bueras-Simpson'!$AA$38</f>
        <v>89.272804784491512</v>
      </c>
      <c r="S14" s="69">
        <f t="shared" si="10"/>
        <v>130.88930740055255</v>
      </c>
      <c r="U14" s="46">
        <f t="shared" si="11"/>
        <v>130.88930740055255</v>
      </c>
      <c r="V14" s="46">
        <f t="shared" si="12"/>
        <v>0</v>
      </c>
    </row>
    <row r="15" spans="1:22" x14ac:dyDescent="0.3">
      <c r="B15" s="2">
        <f t="shared" si="2"/>
        <v>2031</v>
      </c>
      <c r="C15" s="3">
        <f t="shared" si="3"/>
        <v>305.49101581441107</v>
      </c>
      <c r="D15" s="3">
        <f t="shared" si="0"/>
        <v>305.49101581441107</v>
      </c>
      <c r="E15" s="3">
        <f t="shared" si="4"/>
        <v>1.555852967584892</v>
      </c>
      <c r="F15" s="3">
        <f t="shared" si="4"/>
        <v>500.00000000000006</v>
      </c>
      <c r="G15" s="3">
        <f>+'[11]Colector Bueras-Simpson'!$AB$38</f>
        <v>133.0054292997693</v>
      </c>
      <c r="H15" s="3">
        <f t="shared" si="1"/>
        <v>172.48558651464177</v>
      </c>
      <c r="K15" s="56">
        <f t="shared" si="5"/>
        <v>2031</v>
      </c>
      <c r="L15" s="9">
        <f>+'[11]Colector Bueras-Simpson'!$V$38</f>
        <v>5446.1367279077258</v>
      </c>
      <c r="M15" s="34">
        <f>+'[11]Colector Bueras-Simpson'!$U$38</f>
        <v>12.301069684100495</v>
      </c>
      <c r="N15" s="44">
        <f t="shared" si="6"/>
        <v>3.2103997631915222</v>
      </c>
      <c r="O15" s="34">
        <f t="shared" si="7"/>
        <v>39.491351200838643</v>
      </c>
      <c r="P15" s="34">
        <f t="shared" si="8"/>
        <v>2.4602139368200993</v>
      </c>
      <c r="Q15" s="34">
        <f t="shared" si="9"/>
        <v>41.95156513765874</v>
      </c>
      <c r="R15" s="35">
        <f>+'[11]Colector Bueras-Simpson'!$AA$38</f>
        <v>91.053864162110557</v>
      </c>
      <c r="S15" s="69">
        <f t="shared" si="10"/>
        <v>133.0054292997693</v>
      </c>
      <c r="U15" s="46">
        <f t="shared" si="11"/>
        <v>133.0054292997693</v>
      </c>
      <c r="V15" s="46">
        <f t="shared" si="12"/>
        <v>0</v>
      </c>
    </row>
    <row r="16" spans="1:22" x14ac:dyDescent="0.3">
      <c r="B16" s="2">
        <f t="shared" si="2"/>
        <v>2032</v>
      </c>
      <c r="C16" s="3">
        <f t="shared" si="3"/>
        <v>305.49101581441107</v>
      </c>
      <c r="D16" s="3">
        <f t="shared" si="0"/>
        <v>305.49101581441107</v>
      </c>
      <c r="E16" s="3">
        <f t="shared" si="4"/>
        <v>1.555852967584892</v>
      </c>
      <c r="F16" s="3">
        <f t="shared" si="4"/>
        <v>500.00000000000006</v>
      </c>
      <c r="G16" s="3">
        <f>+'[12]Colector Bueras-Simpson'!$AB$38</f>
        <v>135.14630516957925</v>
      </c>
      <c r="H16" s="3">
        <f t="shared" si="1"/>
        <v>170.34471064483182</v>
      </c>
      <c r="K16" s="56">
        <f t="shared" si="5"/>
        <v>2032</v>
      </c>
      <c r="L16" s="9">
        <f>+'[12]Colector Bueras-Simpson'!$V$38</f>
        <v>5462.9383020399355</v>
      </c>
      <c r="M16" s="34">
        <f>+'[12]Colector Bueras-Simpson'!$U$38</f>
        <v>12.405134514781166</v>
      </c>
      <c r="N16" s="44">
        <f t="shared" si="6"/>
        <v>3.2091451548188976</v>
      </c>
      <c r="O16" s="34">
        <f t="shared" si="7"/>
        <v>39.809877322986651</v>
      </c>
      <c r="P16" s="34">
        <f t="shared" si="8"/>
        <v>2.4810269029562333</v>
      </c>
      <c r="Q16" s="34">
        <f t="shared" si="9"/>
        <v>42.290904225942882</v>
      </c>
      <c r="R16" s="35">
        <f>+'[12]Colector Bueras-Simpson'!$AA$38</f>
        <v>92.855400943636354</v>
      </c>
      <c r="S16" s="69">
        <f t="shared" si="10"/>
        <v>135.14630516957925</v>
      </c>
      <c r="U16" s="46">
        <f t="shared" si="11"/>
        <v>135.14630516957925</v>
      </c>
      <c r="V16" s="46">
        <f t="shared" si="12"/>
        <v>0</v>
      </c>
    </row>
    <row r="17" spans="2:22" x14ac:dyDescent="0.3">
      <c r="B17" s="2">
        <f t="shared" si="2"/>
        <v>2033</v>
      </c>
      <c r="C17" s="3">
        <f t="shared" si="3"/>
        <v>305.49101581441107</v>
      </c>
      <c r="D17" s="3">
        <f t="shared" si="0"/>
        <v>305.49101581441107</v>
      </c>
      <c r="E17" s="3">
        <f t="shared" si="4"/>
        <v>1.555852967584892</v>
      </c>
      <c r="F17" s="3">
        <f t="shared" si="4"/>
        <v>500.00000000000006</v>
      </c>
      <c r="G17" s="3">
        <f>+'[13]Colector Bueras-Simpson'!$AB$38</f>
        <v>137.29075704527961</v>
      </c>
      <c r="H17" s="3">
        <f t="shared" si="1"/>
        <v>168.20025876913147</v>
      </c>
      <c r="K17" s="56">
        <f t="shared" si="5"/>
        <v>2033</v>
      </c>
      <c r="L17" s="9">
        <f>+'[13]Colector Bueras-Simpson'!$V$38</f>
        <v>5479.8433159425276</v>
      </c>
      <c r="M17" s="34">
        <f>+'[13]Colector Bueras-Simpson'!$U$38</f>
        <v>12.509574290852555</v>
      </c>
      <c r="N17" s="44">
        <f t="shared" si="6"/>
        <v>3.2078862012881042</v>
      </c>
      <c r="O17" s="34">
        <f t="shared" si="7"/>
        <v>40.129290751614334</v>
      </c>
      <c r="P17" s="34">
        <f t="shared" si="8"/>
        <v>2.5019148581705113</v>
      </c>
      <c r="Q17" s="34">
        <f t="shared" si="9"/>
        <v>42.631205609784843</v>
      </c>
      <c r="R17" s="35">
        <f>+'[13]Colector Bueras-Simpson'!$AA$38</f>
        <v>94.659551435494762</v>
      </c>
      <c r="S17" s="69">
        <f t="shared" si="10"/>
        <v>137.29075704527961</v>
      </c>
      <c r="U17" s="46">
        <f t="shared" si="11"/>
        <v>137.29075704527961</v>
      </c>
      <c r="V17" s="46">
        <f t="shared" si="12"/>
        <v>0</v>
      </c>
    </row>
    <row r="18" spans="2:22" x14ac:dyDescent="0.3">
      <c r="B18" s="2">
        <f t="shared" si="2"/>
        <v>2034</v>
      </c>
      <c r="C18" s="3">
        <f t="shared" si="3"/>
        <v>305.49101581441107</v>
      </c>
      <c r="D18" s="3">
        <f t="shared" si="0"/>
        <v>305.49101581441107</v>
      </c>
      <c r="E18" s="3">
        <f t="shared" si="4"/>
        <v>1.555852967584892</v>
      </c>
      <c r="F18" s="3">
        <f t="shared" si="4"/>
        <v>500.00000000000006</v>
      </c>
      <c r="G18" s="3">
        <f>+'[14]Colector Bueras-Simpson'!$AB$38</f>
        <v>139.45607682790211</v>
      </c>
      <c r="H18" s="3">
        <f t="shared" si="1"/>
        <v>166.03493898650896</v>
      </c>
      <c r="K18" s="56">
        <f t="shared" si="5"/>
        <v>2034</v>
      </c>
      <c r="L18" s="9">
        <f>+'[14]Colector Bueras-Simpson'!$V$38</f>
        <v>5496.8074382853383</v>
      </c>
      <c r="M18" s="34">
        <f>+'[14]Colector Bueras-Simpson'!$U$38</f>
        <v>12.615171356591715</v>
      </c>
      <c r="N18" s="44">
        <f t="shared" si="6"/>
        <v>3.2066262346922159</v>
      </c>
      <c r="O18" s="34">
        <f t="shared" si="7"/>
        <v>40.452139427184783</v>
      </c>
      <c r="P18" s="34">
        <f t="shared" si="8"/>
        <v>2.5230342713183429</v>
      </c>
      <c r="Q18" s="34">
        <f t="shared" si="9"/>
        <v>42.975173698503127</v>
      </c>
      <c r="R18" s="35">
        <f>+'[14]Colector Bueras-Simpson'!$AA$38</f>
        <v>96.480903129398968</v>
      </c>
      <c r="S18" s="69">
        <f t="shared" si="10"/>
        <v>139.45607682790211</v>
      </c>
      <c r="U18" s="46">
        <f t="shared" si="11"/>
        <v>139.45607682790211</v>
      </c>
      <c r="V18" s="46">
        <f t="shared" si="12"/>
        <v>0</v>
      </c>
    </row>
    <row r="19" spans="2:22" x14ac:dyDescent="0.3">
      <c r="B19" s="2">
        <f t="shared" si="2"/>
        <v>2035</v>
      </c>
      <c r="C19" s="3">
        <f t="shared" si="3"/>
        <v>305.49101581441107</v>
      </c>
      <c r="D19" s="3">
        <f t="shared" si="0"/>
        <v>305.49101581441107</v>
      </c>
      <c r="E19" s="3">
        <f t="shared" si="4"/>
        <v>1.555852967584892</v>
      </c>
      <c r="F19" s="3">
        <f t="shared" si="4"/>
        <v>500.00000000000006</v>
      </c>
      <c r="G19" s="3">
        <f>+'[15]Colector Bueras-Simpson'!$AB$38</f>
        <v>141.63743544969637</v>
      </c>
      <c r="H19" s="3">
        <f t="shared" si="1"/>
        <v>163.8535803647147</v>
      </c>
      <c r="K19" s="56">
        <f t="shared" si="5"/>
        <v>2035</v>
      </c>
      <c r="L19" s="9">
        <f>+'[15]Colector Bueras-Simpson'!$V$38</f>
        <v>5513.889777508587</v>
      </c>
      <c r="M19" s="34">
        <f>+'[15]Colector Bueras-Simpson'!$U$38</f>
        <v>12.721725992586654</v>
      </c>
      <c r="N19" s="44">
        <f t="shared" si="6"/>
        <v>3.2053608998216374</v>
      </c>
      <c r="O19" s="34">
        <f t="shared" si="7"/>
        <v>40.77772307488187</v>
      </c>
      <c r="P19" s="34">
        <f t="shared" si="8"/>
        <v>2.5443451985173309</v>
      </c>
      <c r="Q19" s="34">
        <f t="shared" si="9"/>
        <v>43.322068273399204</v>
      </c>
      <c r="R19" s="35">
        <f>+'[15]Colector Bueras-Simpson'!$AA$38</f>
        <v>98.315367176297173</v>
      </c>
      <c r="S19" s="69">
        <f t="shared" si="10"/>
        <v>141.63743544969637</v>
      </c>
      <c r="U19" s="46">
        <f t="shared" si="11"/>
        <v>141.63743544969637</v>
      </c>
      <c r="V19" s="46">
        <f t="shared" si="12"/>
        <v>0</v>
      </c>
    </row>
    <row r="20" spans="2:22" x14ac:dyDescent="0.3">
      <c r="B20" s="2">
        <f t="shared" si="2"/>
        <v>2036</v>
      </c>
      <c r="C20" s="3">
        <f t="shared" si="3"/>
        <v>305.49101581441107</v>
      </c>
      <c r="D20" s="3">
        <f t="shared" si="0"/>
        <v>305.49101581441107</v>
      </c>
      <c r="E20" s="3">
        <f t="shared" si="4"/>
        <v>1.555852967584892</v>
      </c>
      <c r="F20" s="3">
        <f t="shared" si="4"/>
        <v>500.00000000000006</v>
      </c>
      <c r="G20" s="3">
        <f>+'[16]Colector Bueras-Simpson'!$AB$38</f>
        <v>143.84380625236568</v>
      </c>
      <c r="H20" s="3">
        <f t="shared" si="1"/>
        <v>161.64720956204539</v>
      </c>
      <c r="K20" s="56">
        <f t="shared" si="5"/>
        <v>2036</v>
      </c>
      <c r="L20" s="9">
        <f>+'[16]Colector Bueras-Simpson'!$V$38</f>
        <v>5531.0460022821098</v>
      </c>
      <c r="M20" s="34">
        <f>+'[16]Colector Bueras-Simpson'!$U$38</f>
        <v>12.829639501952608</v>
      </c>
      <c r="N20" s="44">
        <f t="shared" si="6"/>
        <v>3.2040935196284788</v>
      </c>
      <c r="O20" s="34">
        <f t="shared" si="7"/>
        <v>41.107364787375893</v>
      </c>
      <c r="P20" s="34">
        <f t="shared" si="8"/>
        <v>2.5659279003905215</v>
      </c>
      <c r="Q20" s="34">
        <f t="shared" si="9"/>
        <v>43.673292687766413</v>
      </c>
      <c r="R20" s="35">
        <f>+'[16]Colector Bueras-Simpson'!$AA$38</f>
        <v>100.17051356459926</v>
      </c>
      <c r="S20" s="69">
        <f t="shared" si="10"/>
        <v>143.84380625236568</v>
      </c>
      <c r="U20" s="46">
        <f t="shared" si="11"/>
        <v>143.84380625236568</v>
      </c>
      <c r="V20" s="46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305.49101581441107</v>
      </c>
      <c r="D21" s="3">
        <f t="shared" si="0"/>
        <v>305.49101581441107</v>
      </c>
      <c r="E21" s="3">
        <f t="shared" si="4"/>
        <v>1.555852967584892</v>
      </c>
      <c r="F21" s="3">
        <f t="shared" si="4"/>
        <v>500.00000000000006</v>
      </c>
      <c r="G21" s="3">
        <f>+'[17]Colector Bueras-Simpson'!$AB$38</f>
        <v>146.0529874047898</v>
      </c>
      <c r="H21" s="3">
        <f t="shared" si="1"/>
        <v>159.43802840962127</v>
      </c>
      <c r="I21" s="13">
        <f>+G21/G6-1</f>
        <v>0.28297266853501379</v>
      </c>
      <c r="K21" s="58">
        <f t="shared" si="5"/>
        <v>2037</v>
      </c>
      <c r="L21" s="59">
        <f>+'[17]Colector Bueras-Simpson'!$V$38</f>
        <v>5548.3056668260151</v>
      </c>
      <c r="M21" s="60">
        <f>+'[17]Colector Bueras-Simpson'!$U$38</f>
        <v>12.93789903182542</v>
      </c>
      <c r="N21" s="61">
        <f t="shared" si="6"/>
        <v>3.202821945488143</v>
      </c>
      <c r="O21" s="60">
        <f t="shared" si="7"/>
        <v>41.437786947640255</v>
      </c>
      <c r="P21" s="60">
        <f t="shared" si="8"/>
        <v>2.5875798063650843</v>
      </c>
      <c r="Q21" s="60">
        <f t="shared" si="9"/>
        <v>44.02536675400534</v>
      </c>
      <c r="R21" s="65">
        <f>+'[17]Colector Bueras-Simpson'!$AA$38</f>
        <v>102.02762065078446</v>
      </c>
      <c r="S21" s="70">
        <f t="shared" si="10"/>
        <v>146.0529874047898</v>
      </c>
      <c r="U21" s="46">
        <f>+G21</f>
        <v>146.0529874047898</v>
      </c>
      <c r="V21" s="46">
        <f t="shared" si="12"/>
        <v>0</v>
      </c>
    </row>
    <row r="22" spans="2:22" x14ac:dyDescent="0.3">
      <c r="I22" s="13"/>
      <c r="L22" s="9"/>
    </row>
    <row r="23" spans="2:22" x14ac:dyDescent="0.3">
      <c r="L23" s="9"/>
    </row>
    <row r="24" spans="2:22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1:V24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2" ht="13.8" thickBot="1" x14ac:dyDescent="0.35"/>
    <row r="2" spans="1:22" x14ac:dyDescent="0.3">
      <c r="B2" s="5" t="s">
        <v>12</v>
      </c>
      <c r="E2" s="6" t="s">
        <v>7</v>
      </c>
      <c r="F2" s="7">
        <f>+'[17]Colector Simpson'!$N$32</f>
        <v>923.3900000000001</v>
      </c>
      <c r="G2" s="8" t="s">
        <v>8</v>
      </c>
      <c r="K2" s="47"/>
      <c r="L2" s="48" t="s">
        <v>98</v>
      </c>
      <c r="M2" s="49"/>
      <c r="N2" s="49"/>
      <c r="O2" s="49"/>
      <c r="P2" s="49"/>
      <c r="Q2" s="49"/>
      <c r="R2" s="49"/>
      <c r="S2" s="50"/>
    </row>
    <row r="3" spans="1:22" x14ac:dyDescent="0.3">
      <c r="K3" s="51"/>
      <c r="L3" s="42" t="s">
        <v>159</v>
      </c>
      <c r="S3" s="52"/>
    </row>
    <row r="4" spans="1:2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K4" s="51"/>
      <c r="L4" s="12" t="s">
        <v>160</v>
      </c>
      <c r="P4" s="53">
        <v>0.2</v>
      </c>
      <c r="R4" s="43" t="s">
        <v>94</v>
      </c>
      <c r="S4" s="52"/>
    </row>
    <row r="5" spans="1:2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K5" s="54" t="s">
        <v>0</v>
      </c>
      <c r="L5" s="45" t="s">
        <v>90</v>
      </c>
      <c r="M5" s="45" t="s">
        <v>99</v>
      </c>
      <c r="N5" s="45" t="s">
        <v>91</v>
      </c>
      <c r="O5" s="45" t="s">
        <v>92</v>
      </c>
      <c r="P5" s="45" t="s">
        <v>93</v>
      </c>
      <c r="Q5" s="45" t="s">
        <v>100</v>
      </c>
      <c r="R5" s="45"/>
      <c r="S5" s="55" t="s">
        <v>101</v>
      </c>
      <c r="T5" s="45"/>
      <c r="U5" s="45" t="s">
        <v>92</v>
      </c>
      <c r="V5" s="45" t="s">
        <v>97</v>
      </c>
    </row>
    <row r="6" spans="1:22" x14ac:dyDescent="0.3">
      <c r="A6" s="12" t="s">
        <v>6</v>
      </c>
      <c r="B6" s="2">
        <f>+'Colec Ecuador I-II'!B29</f>
        <v>2022</v>
      </c>
      <c r="C6" s="3">
        <f>+SUMPRODUCT('[17]Colector Simpson'!$AL$17:$AL$32,'[17]Colector Simpson'!$M$17:$M$32)/F2</f>
        <v>198.89814015426231</v>
      </c>
      <c r="D6" s="3">
        <f t="shared" ref="D6:D21" si="0">+C6</f>
        <v>198.89814015426231</v>
      </c>
      <c r="E6" s="3">
        <f>D6/(0.25*PI()*(F6/1000)^2)/1000</f>
        <v>1.0129799096747343</v>
      </c>
      <c r="F6" s="3">
        <f>+SUMPRODUCT('[17]Colector Simpson'!$F$17:$F$32,'[17]Colector Simpson'!$M$17:$M$32)/F2</f>
        <v>499.99999999999994</v>
      </c>
      <c r="G6" s="3">
        <f>+'[2]Colector Simpson'!$AB$32</f>
        <v>85.274635051204683</v>
      </c>
      <c r="H6" s="3">
        <f t="shared" ref="H6:H21" si="1">+D6-G6</f>
        <v>113.62350510305762</v>
      </c>
      <c r="K6" s="56">
        <f>+B6</f>
        <v>2022</v>
      </c>
      <c r="L6" s="9">
        <f>+'[2]Colector Simpson'!$V$32</f>
        <v>1136.9225822668145</v>
      </c>
      <c r="M6" s="34">
        <f>+'[2]Colector Simpson'!$U$32</f>
        <v>3.0849295296066126</v>
      </c>
      <c r="N6" s="44">
        <f>1+(14/(4+(SQRT(L6/1000))))</f>
        <v>3.7633765732248774</v>
      </c>
      <c r="O6" s="34">
        <f>+N6*M6</f>
        <v>11.609751521771166</v>
      </c>
      <c r="P6" s="34">
        <f>+$P$4*M6</f>
        <v>0.61698590592132252</v>
      </c>
      <c r="Q6" s="34">
        <f>+P6+O6</f>
        <v>12.226737427692488</v>
      </c>
      <c r="R6" s="35">
        <f>+'[2]Colector Simpson'!$AA$32</f>
        <v>73.047897623512199</v>
      </c>
      <c r="S6" s="69">
        <f>+R6+Q6</f>
        <v>85.274635051204683</v>
      </c>
      <c r="U6" s="46">
        <f>+G6</f>
        <v>85.274635051204683</v>
      </c>
      <c r="V6" s="46">
        <f>+S6-U6</f>
        <v>0</v>
      </c>
    </row>
    <row r="7" spans="1:22" x14ac:dyDescent="0.3">
      <c r="B7" s="2">
        <f t="shared" ref="B7:B21" si="2">+B6+1</f>
        <v>2023</v>
      </c>
      <c r="C7" s="3">
        <f t="shared" ref="C7:C21" si="3">+C6</f>
        <v>198.89814015426231</v>
      </c>
      <c r="D7" s="3">
        <f t="shared" si="0"/>
        <v>198.89814015426231</v>
      </c>
      <c r="E7" s="3">
        <f t="shared" ref="E7:F21" si="4">+E6</f>
        <v>1.0129799096747343</v>
      </c>
      <c r="F7" s="3">
        <f t="shared" si="4"/>
        <v>499.99999999999994</v>
      </c>
      <c r="G7" s="3">
        <f>+'[3]Colector Simpson'!$AB$32</f>
        <v>87.881148599019696</v>
      </c>
      <c r="H7" s="3">
        <f t="shared" si="1"/>
        <v>111.01699155524261</v>
      </c>
      <c r="K7" s="56">
        <f t="shared" ref="K7:K21" si="5">+B7</f>
        <v>2023</v>
      </c>
      <c r="L7" s="9">
        <f>+'[3]Colector Simpson'!$V$32</f>
        <v>1146.1286321367579</v>
      </c>
      <c r="M7" s="34">
        <f>+'[3]Colector Simpson'!$U$32</f>
        <v>3.1822679242824727</v>
      </c>
      <c r="N7" s="44">
        <f t="shared" ref="N7:N21" si="6">1+(14/(4+(SQRT(L7/1000))))</f>
        <v>3.7610286476322887</v>
      </c>
      <c r="O7" s="34">
        <f t="shared" ref="O7:O21" si="7">+N7*M7</f>
        <v>11.96860082766772</v>
      </c>
      <c r="P7" s="34">
        <f t="shared" ref="P7:P21" si="8">+$P$4*M7</f>
        <v>0.63645358485649461</v>
      </c>
      <c r="Q7" s="34">
        <f t="shared" ref="Q7:Q21" si="9">+P7+O7</f>
        <v>12.605054412524215</v>
      </c>
      <c r="R7" s="35">
        <f>+'[3]Colector Simpson'!$AA$32</f>
        <v>75.276094186495484</v>
      </c>
      <c r="S7" s="69">
        <f t="shared" ref="S7:S21" si="10">+R7+Q7</f>
        <v>87.881148599019696</v>
      </c>
      <c r="U7" s="46">
        <f t="shared" ref="U7:U20" si="11">+G7</f>
        <v>87.881148599019696</v>
      </c>
      <c r="V7" s="46">
        <f t="shared" ref="V7:V21" si="12">+S7-U7</f>
        <v>0</v>
      </c>
    </row>
    <row r="8" spans="1:22" x14ac:dyDescent="0.3">
      <c r="B8" s="2">
        <f t="shared" si="2"/>
        <v>2024</v>
      </c>
      <c r="C8" s="3">
        <f t="shared" si="3"/>
        <v>198.89814015426231</v>
      </c>
      <c r="D8" s="3">
        <f t="shared" si="0"/>
        <v>198.89814015426231</v>
      </c>
      <c r="E8" s="3">
        <f t="shared" si="4"/>
        <v>1.0129799096747343</v>
      </c>
      <c r="F8" s="3">
        <f t="shared" si="4"/>
        <v>499.99999999999994</v>
      </c>
      <c r="G8" s="3">
        <f>+'[4]Colector Simpson'!$AB$32</f>
        <v>89.827719817222828</v>
      </c>
      <c r="H8" s="3">
        <f t="shared" si="1"/>
        <v>109.07042033703948</v>
      </c>
      <c r="K8" s="56">
        <f t="shared" si="5"/>
        <v>2024</v>
      </c>
      <c r="L8" s="9">
        <f>+'[4]Colector Simpson'!$V$32</f>
        <v>1155.3769503715775</v>
      </c>
      <c r="M8" s="34">
        <f>+'[4]Colector Simpson'!$U$32</f>
        <v>3.2558649980733012</v>
      </c>
      <c r="N8" s="44">
        <f t="shared" si="6"/>
        <v>3.7586834072281352</v>
      </c>
      <c r="O8" s="34">
        <f t="shared" si="7"/>
        <v>12.237765744432982</v>
      </c>
      <c r="P8" s="34">
        <f t="shared" si="8"/>
        <v>0.65117299961466024</v>
      </c>
      <c r="Q8" s="34">
        <f t="shared" si="9"/>
        <v>12.888938744047643</v>
      </c>
      <c r="R8" s="35">
        <f>+'[4]Colector Simpson'!$AA$32</f>
        <v>76.938781073175193</v>
      </c>
      <c r="S8" s="69">
        <f t="shared" si="10"/>
        <v>89.827719817222828</v>
      </c>
      <c r="U8" s="46">
        <f t="shared" si="11"/>
        <v>89.827719817222828</v>
      </c>
      <c r="V8" s="46">
        <f t="shared" si="12"/>
        <v>0</v>
      </c>
    </row>
    <row r="9" spans="1:22" x14ac:dyDescent="0.3">
      <c r="B9" s="2">
        <f t="shared" si="2"/>
        <v>2025</v>
      </c>
      <c r="C9" s="3">
        <f t="shared" si="3"/>
        <v>198.89814015426231</v>
      </c>
      <c r="D9" s="3">
        <f t="shared" si="0"/>
        <v>198.89814015426231</v>
      </c>
      <c r="E9" s="3">
        <f t="shared" si="4"/>
        <v>1.0129799096747343</v>
      </c>
      <c r="F9" s="3">
        <f t="shared" si="4"/>
        <v>499.99999999999994</v>
      </c>
      <c r="G9" s="3">
        <f>+'[5]Colector Simpson'!$AB$32</f>
        <v>91.779818394112326</v>
      </c>
      <c r="H9" s="3">
        <f t="shared" si="1"/>
        <v>107.11832176014998</v>
      </c>
      <c r="K9" s="56">
        <f t="shared" si="5"/>
        <v>2025</v>
      </c>
      <c r="L9" s="9">
        <f>+'[5]Colector Simpson'!$V$32</f>
        <v>1164.6590832982972</v>
      </c>
      <c r="M9" s="34">
        <f>+'[5]Colector Simpson'!$U$32</f>
        <v>3.3297926030705396</v>
      </c>
      <c r="N9" s="44">
        <f t="shared" si="6"/>
        <v>3.7563429895208271</v>
      </c>
      <c r="O9" s="34">
        <f t="shared" si="7"/>
        <v>12.507843101102328</v>
      </c>
      <c r="P9" s="34">
        <f t="shared" si="8"/>
        <v>0.66595852061410798</v>
      </c>
      <c r="Q9" s="34">
        <f t="shared" si="9"/>
        <v>13.173801621716436</v>
      </c>
      <c r="R9" s="35">
        <f>+'[5]Colector Simpson'!$AA$32</f>
        <v>78.60601677239589</v>
      </c>
      <c r="S9" s="69">
        <f t="shared" si="10"/>
        <v>91.779818394112326</v>
      </c>
      <c r="U9" s="46">
        <f t="shared" si="11"/>
        <v>91.779818394112326</v>
      </c>
      <c r="V9" s="46">
        <f t="shared" si="12"/>
        <v>0</v>
      </c>
    </row>
    <row r="10" spans="1:22" x14ac:dyDescent="0.3">
      <c r="B10" s="2">
        <f t="shared" si="2"/>
        <v>2026</v>
      </c>
      <c r="C10" s="3">
        <f t="shared" si="3"/>
        <v>198.89814015426231</v>
      </c>
      <c r="D10" s="3">
        <f t="shared" si="0"/>
        <v>198.89814015426231</v>
      </c>
      <c r="E10" s="3">
        <f t="shared" si="4"/>
        <v>1.0129799096747343</v>
      </c>
      <c r="F10" s="3">
        <f t="shared" si="4"/>
        <v>499.99999999999994</v>
      </c>
      <c r="G10" s="3">
        <f>+'[6]Colector Simpson'!$AB$32</f>
        <v>93.752013387114999</v>
      </c>
      <c r="H10" s="3">
        <f t="shared" si="1"/>
        <v>105.14612676714731</v>
      </c>
      <c r="K10" s="56">
        <f t="shared" si="5"/>
        <v>2026</v>
      </c>
      <c r="L10" s="9">
        <f>+'[6]Colector Simpson'!$V$32</f>
        <v>1173.991938262868</v>
      </c>
      <c r="M10" s="34">
        <f>+'[6]Colector Simpson'!$U$32</f>
        <v>3.404585961877888</v>
      </c>
      <c r="N10" s="44">
        <f t="shared" si="6"/>
        <v>3.7540031432338377</v>
      </c>
      <c r="O10" s="34">
        <f t="shared" si="7"/>
        <v>12.78082640229939</v>
      </c>
      <c r="P10" s="34">
        <f t="shared" si="8"/>
        <v>0.68091719237557768</v>
      </c>
      <c r="Q10" s="34">
        <f t="shared" si="9"/>
        <v>13.461743594674967</v>
      </c>
      <c r="R10" s="35">
        <f>+'[6]Colector Simpson'!$AA$32</f>
        <v>80.290269792440029</v>
      </c>
      <c r="S10" s="69">
        <f t="shared" si="10"/>
        <v>93.752013387114999</v>
      </c>
      <c r="U10" s="46">
        <f t="shared" si="11"/>
        <v>93.752013387114999</v>
      </c>
      <c r="V10" s="46">
        <f t="shared" si="12"/>
        <v>0</v>
      </c>
    </row>
    <row r="11" spans="1:22" x14ac:dyDescent="0.3">
      <c r="B11" s="2">
        <f t="shared" si="2"/>
        <v>2027</v>
      </c>
      <c r="C11" s="3">
        <f t="shared" si="3"/>
        <v>198.89814015426231</v>
      </c>
      <c r="D11" s="3">
        <f t="shared" si="0"/>
        <v>198.89814015426231</v>
      </c>
      <c r="E11" s="3">
        <f t="shared" si="4"/>
        <v>1.0129799096747343</v>
      </c>
      <c r="F11" s="3">
        <f t="shared" si="4"/>
        <v>499.99999999999994</v>
      </c>
      <c r="G11" s="3">
        <f>+'[7]Colector Simpson'!$AB$32</f>
        <v>95.740630699904244</v>
      </c>
      <c r="H11" s="3">
        <f t="shared" si="1"/>
        <v>103.15750945435806</v>
      </c>
      <c r="K11" s="56">
        <f t="shared" si="5"/>
        <v>2027</v>
      </c>
      <c r="L11" s="9">
        <f>+'[7]Colector Simpson'!$V$32</f>
        <v>1183.3670615923145</v>
      </c>
      <c r="M11" s="34">
        <f>+'[7]Colector Simpson'!$U$32</f>
        <v>3.4801106293556199</v>
      </c>
      <c r="N11" s="44">
        <f t="shared" si="6"/>
        <v>3.751666017358239</v>
      </c>
      <c r="O11" s="34">
        <f t="shared" si="7"/>
        <v>13.056212784800673</v>
      </c>
      <c r="P11" s="34">
        <f t="shared" si="8"/>
        <v>0.696022125871124</v>
      </c>
      <c r="Q11" s="34">
        <f t="shared" si="9"/>
        <v>13.752234910671797</v>
      </c>
      <c r="R11" s="35">
        <f>+'[7]Colector Simpson'!$AA$32</f>
        <v>81.988395789232442</v>
      </c>
      <c r="S11" s="69">
        <f t="shared" si="10"/>
        <v>95.740630699904244</v>
      </c>
      <c r="U11" s="46">
        <f t="shared" si="11"/>
        <v>95.740630699904244</v>
      </c>
      <c r="V11" s="46">
        <f t="shared" si="12"/>
        <v>0</v>
      </c>
    </row>
    <row r="12" spans="1:22" x14ac:dyDescent="0.3">
      <c r="B12" s="2">
        <f t="shared" si="2"/>
        <v>2028</v>
      </c>
      <c r="C12" s="3">
        <f t="shared" si="3"/>
        <v>198.89814015426231</v>
      </c>
      <c r="D12" s="3">
        <f t="shared" si="0"/>
        <v>198.89814015426231</v>
      </c>
      <c r="E12" s="3">
        <f t="shared" si="4"/>
        <v>1.0129799096747343</v>
      </c>
      <c r="F12" s="3">
        <f t="shared" si="4"/>
        <v>499.99999999999994</v>
      </c>
      <c r="G12" s="3">
        <f>+'[8]Colector Simpson'!$AB$32</f>
        <v>97.75325070543893</v>
      </c>
      <c r="H12" s="3">
        <f t="shared" si="1"/>
        <v>101.14488944882338</v>
      </c>
      <c r="K12" s="56">
        <f t="shared" si="5"/>
        <v>2028</v>
      </c>
      <c r="L12" s="9">
        <f>+'[8]Colector Simpson'!$V$32</f>
        <v>1192.7929069596121</v>
      </c>
      <c r="M12" s="34">
        <f>+'[8]Colector Simpson'!$U$32</f>
        <v>3.5566469883582372</v>
      </c>
      <c r="N12" s="44">
        <f t="shared" si="6"/>
        <v>3.7493295333562178</v>
      </c>
      <c r="O12" s="34">
        <f t="shared" si="7"/>
        <v>13.335041593173987</v>
      </c>
      <c r="P12" s="34">
        <f t="shared" si="8"/>
        <v>0.71132939767164749</v>
      </c>
      <c r="Q12" s="34">
        <f t="shared" si="9"/>
        <v>14.046370990845634</v>
      </c>
      <c r="R12" s="35">
        <f>+'[8]Colector Simpson'!$AA$32</f>
        <v>83.706879714593299</v>
      </c>
      <c r="S12" s="69">
        <f t="shared" si="10"/>
        <v>97.75325070543893</v>
      </c>
      <c r="U12" s="46">
        <f t="shared" si="11"/>
        <v>97.75325070543893</v>
      </c>
      <c r="V12" s="46">
        <f t="shared" si="12"/>
        <v>0</v>
      </c>
    </row>
    <row r="13" spans="1:22" x14ac:dyDescent="0.3">
      <c r="B13" s="2">
        <f t="shared" si="2"/>
        <v>2029</v>
      </c>
      <c r="C13" s="3">
        <f t="shared" si="3"/>
        <v>198.89814015426231</v>
      </c>
      <c r="D13" s="3">
        <f t="shared" si="0"/>
        <v>198.89814015426231</v>
      </c>
      <c r="E13" s="3">
        <f t="shared" si="4"/>
        <v>1.0129799096747343</v>
      </c>
      <c r="F13" s="3">
        <f t="shared" si="4"/>
        <v>499.99999999999994</v>
      </c>
      <c r="G13" s="3">
        <f>+'[9]Colector Simpson'!$AB$32</f>
        <v>99.770663607543781</v>
      </c>
      <c r="H13" s="3">
        <f t="shared" si="1"/>
        <v>99.127476546718526</v>
      </c>
      <c r="K13" s="56">
        <f t="shared" si="5"/>
        <v>2029</v>
      </c>
      <c r="L13" s="9">
        <f>+'[9]Colector Simpson'!$V$32</f>
        <v>1202.2525670188104</v>
      </c>
      <c r="M13" s="34">
        <f>+'[9]Colector Simpson'!$U$32</f>
        <v>3.6334917882629445</v>
      </c>
      <c r="N13" s="44">
        <f t="shared" si="6"/>
        <v>3.7469978928842278</v>
      </c>
      <c r="O13" s="34">
        <f t="shared" si="7"/>
        <v>13.614686074433397</v>
      </c>
      <c r="P13" s="34">
        <f t="shared" si="8"/>
        <v>0.72669835765258894</v>
      </c>
      <c r="Q13" s="34">
        <f t="shared" si="9"/>
        <v>14.341384432085986</v>
      </c>
      <c r="R13" s="35">
        <f>+'[9]Colector Simpson'!$AA$32</f>
        <v>85.429279175457793</v>
      </c>
      <c r="S13" s="69">
        <f t="shared" si="10"/>
        <v>99.770663607543781</v>
      </c>
      <c r="U13" s="46">
        <f t="shared" si="11"/>
        <v>99.770663607543781</v>
      </c>
      <c r="V13" s="46">
        <f t="shared" si="12"/>
        <v>0</v>
      </c>
    </row>
    <row r="14" spans="1:22" x14ac:dyDescent="0.3">
      <c r="B14" s="2">
        <f t="shared" si="2"/>
        <v>2030</v>
      </c>
      <c r="C14" s="3">
        <f t="shared" si="3"/>
        <v>198.89814015426231</v>
      </c>
      <c r="D14" s="3">
        <f t="shared" si="0"/>
        <v>198.89814015426231</v>
      </c>
      <c r="E14" s="3">
        <f t="shared" si="4"/>
        <v>1.0129799096747343</v>
      </c>
      <c r="F14" s="3">
        <f t="shared" si="4"/>
        <v>499.99999999999994</v>
      </c>
      <c r="G14" s="3">
        <f>+'[10]Colector Simpson'!$AB$32</f>
        <v>101.80822939058582</v>
      </c>
      <c r="H14" s="3">
        <f t="shared" si="1"/>
        <v>97.089910763676485</v>
      </c>
      <c r="K14" s="56">
        <f t="shared" si="5"/>
        <v>2030</v>
      </c>
      <c r="L14" s="9">
        <f>+'[10]Colector Simpson'!$V$32</f>
        <v>1211.7629491158593</v>
      </c>
      <c r="M14" s="34">
        <f>+'[10]Colector Simpson'!$U$32</f>
        <v>3.7112113835445242</v>
      </c>
      <c r="N14" s="44">
        <f t="shared" si="6"/>
        <v>3.7446669387738636</v>
      </c>
      <c r="O14" s="34">
        <f t="shared" si="7"/>
        <v>13.897250570760388</v>
      </c>
      <c r="P14" s="34">
        <f t="shared" si="8"/>
        <v>0.74224227670890486</v>
      </c>
      <c r="Q14" s="34">
        <f t="shared" si="9"/>
        <v>14.639492847469294</v>
      </c>
      <c r="R14" s="35">
        <f>+'[10]Colector Simpson'!$AA$32</f>
        <v>87.168736543116523</v>
      </c>
      <c r="S14" s="69">
        <f t="shared" si="10"/>
        <v>101.80822939058582</v>
      </c>
      <c r="U14" s="46">
        <f t="shared" si="11"/>
        <v>101.80822939058582</v>
      </c>
      <c r="V14" s="46">
        <f t="shared" si="12"/>
        <v>0</v>
      </c>
    </row>
    <row r="15" spans="1:22" x14ac:dyDescent="0.3">
      <c r="B15" s="2">
        <f t="shared" si="2"/>
        <v>2031</v>
      </c>
      <c r="C15" s="3">
        <f t="shared" si="3"/>
        <v>198.89814015426231</v>
      </c>
      <c r="D15" s="3">
        <f t="shared" si="0"/>
        <v>198.89814015426231</v>
      </c>
      <c r="E15" s="3">
        <f t="shared" si="4"/>
        <v>1.0129799096747343</v>
      </c>
      <c r="F15" s="3">
        <f t="shared" si="4"/>
        <v>499.99999999999994</v>
      </c>
      <c r="G15" s="3">
        <f>+'[11]Colector Simpson'!$AB$32</f>
        <v>103.86195873608499</v>
      </c>
      <c r="H15" s="3">
        <f t="shared" si="1"/>
        <v>95.036181418177321</v>
      </c>
      <c r="K15" s="56">
        <f t="shared" si="5"/>
        <v>2031</v>
      </c>
      <c r="L15" s="9">
        <f>+'[11]Colector Simpson'!$V$32</f>
        <v>1221.3240532507593</v>
      </c>
      <c r="M15" s="34">
        <f>+'[11]Colector Simpson'!$U$32</f>
        <v>3.7896622874964878</v>
      </c>
      <c r="N15" s="44">
        <f t="shared" si="6"/>
        <v>3.7423367158893348</v>
      </c>
      <c r="O15" s="34">
        <f t="shared" si="7"/>
        <v>14.18219231931927</v>
      </c>
      <c r="P15" s="34">
        <f t="shared" si="8"/>
        <v>0.75793245749929761</v>
      </c>
      <c r="Q15" s="34">
        <f t="shared" si="9"/>
        <v>14.940124776818568</v>
      </c>
      <c r="R15" s="35">
        <f>+'[11]Colector Simpson'!$AA$32</f>
        <v>88.921833959266422</v>
      </c>
      <c r="S15" s="69">
        <f t="shared" si="10"/>
        <v>103.86195873608499</v>
      </c>
      <c r="U15" s="46">
        <f t="shared" si="11"/>
        <v>103.86195873608499</v>
      </c>
      <c r="V15" s="46">
        <f t="shared" si="12"/>
        <v>0</v>
      </c>
    </row>
    <row r="16" spans="1:22" x14ac:dyDescent="0.3">
      <c r="B16" s="2">
        <f t="shared" si="2"/>
        <v>2032</v>
      </c>
      <c r="C16" s="3">
        <f t="shared" si="3"/>
        <v>198.89814015426231</v>
      </c>
      <c r="D16" s="3">
        <f t="shared" si="0"/>
        <v>198.89814015426231</v>
      </c>
      <c r="E16" s="3">
        <f t="shared" si="4"/>
        <v>1.0129799096747343</v>
      </c>
      <c r="F16" s="3">
        <f t="shared" si="4"/>
        <v>499.99999999999994</v>
      </c>
      <c r="G16" s="3">
        <f>+'[12]Colector Simpson'!$AB$32</f>
        <v>105.93984064851142</v>
      </c>
      <c r="H16" s="3">
        <f t="shared" si="1"/>
        <v>92.958299505750887</v>
      </c>
      <c r="K16" s="56">
        <f t="shared" si="5"/>
        <v>2032</v>
      </c>
      <c r="L16" s="9">
        <f>+'[12]Colector Simpson'!$V$32</f>
        <v>1230.9358794235102</v>
      </c>
      <c r="M16" s="34">
        <f>+'[12]Colector Simpson'!$U$32</f>
        <v>3.8691379317108909</v>
      </c>
      <c r="N16" s="44">
        <f t="shared" si="6"/>
        <v>3.7400072682626146</v>
      </c>
      <c r="O16" s="34">
        <f t="shared" si="7"/>
        <v>14.470603986509312</v>
      </c>
      <c r="P16" s="34">
        <f t="shared" si="8"/>
        <v>0.77382758634217819</v>
      </c>
      <c r="Q16" s="34">
        <f t="shared" si="9"/>
        <v>15.244431572851489</v>
      </c>
      <c r="R16" s="35">
        <f>+'[12]Colector Simpson'!$AA$32</f>
        <v>90.695409075659938</v>
      </c>
      <c r="S16" s="69">
        <f t="shared" si="10"/>
        <v>105.93984064851142</v>
      </c>
      <c r="U16" s="46">
        <f t="shared" si="11"/>
        <v>105.93984064851142</v>
      </c>
      <c r="V16" s="46">
        <f t="shared" si="12"/>
        <v>0</v>
      </c>
    </row>
    <row r="17" spans="2:22" x14ac:dyDescent="0.3">
      <c r="B17" s="2">
        <f t="shared" si="2"/>
        <v>2033</v>
      </c>
      <c r="C17" s="3">
        <f t="shared" si="3"/>
        <v>198.89814015426231</v>
      </c>
      <c r="D17" s="3">
        <f t="shared" si="0"/>
        <v>198.89814015426231</v>
      </c>
      <c r="E17" s="3">
        <f t="shared" si="4"/>
        <v>1.0129799096747343</v>
      </c>
      <c r="F17" s="3">
        <f t="shared" si="4"/>
        <v>499.99999999999994</v>
      </c>
      <c r="G17" s="3">
        <f>+'[13]Colector Simpson'!$AB$32</f>
        <v>108.02151962057839</v>
      </c>
      <c r="H17" s="3">
        <f t="shared" si="1"/>
        <v>90.876620533683919</v>
      </c>
      <c r="K17" s="56">
        <f t="shared" si="5"/>
        <v>2033</v>
      </c>
      <c r="L17" s="9">
        <f>+'[13]Colector Simpson'!$V$32</f>
        <v>1240.6068813070872</v>
      </c>
      <c r="M17" s="34">
        <f>+'[13]Colector Simpson'!$U$32</f>
        <v>3.9488999265230689</v>
      </c>
      <c r="N17" s="44">
        <f t="shared" si="6"/>
        <v>3.7376766075192878</v>
      </c>
      <c r="O17" s="34">
        <f t="shared" si="7"/>
        <v>14.75971088079991</v>
      </c>
      <c r="P17" s="34">
        <f t="shared" si="8"/>
        <v>0.7897799853046138</v>
      </c>
      <c r="Q17" s="34">
        <f t="shared" si="9"/>
        <v>15.549490866104524</v>
      </c>
      <c r="R17" s="35">
        <f>+'[13]Colector Simpson'!$AA$32</f>
        <v>92.472028754473868</v>
      </c>
      <c r="S17" s="69">
        <f t="shared" si="10"/>
        <v>108.02151962057839</v>
      </c>
      <c r="U17" s="46">
        <f t="shared" si="11"/>
        <v>108.02151962057839</v>
      </c>
      <c r="V17" s="46">
        <f t="shared" si="12"/>
        <v>0</v>
      </c>
    </row>
    <row r="18" spans="2:22" x14ac:dyDescent="0.3">
      <c r="B18" s="2">
        <f t="shared" si="2"/>
        <v>2034</v>
      </c>
      <c r="C18" s="3">
        <f t="shared" si="3"/>
        <v>198.89814015426231</v>
      </c>
      <c r="D18" s="3">
        <f t="shared" si="0"/>
        <v>198.89814015426231</v>
      </c>
      <c r="E18" s="3">
        <f t="shared" si="4"/>
        <v>1.0129799096747343</v>
      </c>
      <c r="F18" s="3">
        <f t="shared" si="4"/>
        <v>499.99999999999994</v>
      </c>
      <c r="G18" s="3">
        <f>+'[14]Colector Simpson'!$AB$32</f>
        <v>110.12358129848334</v>
      </c>
      <c r="H18" s="3">
        <f t="shared" si="1"/>
        <v>88.774558855778963</v>
      </c>
      <c r="K18" s="56">
        <f t="shared" si="5"/>
        <v>2034</v>
      </c>
      <c r="L18" s="9">
        <f>+'[14]Colector Simpson'!$V$32</f>
        <v>1250.3116978825649</v>
      </c>
      <c r="M18" s="34">
        <f>+'[14]Colector Simpson'!$U$32</f>
        <v>4.0295457582788785</v>
      </c>
      <c r="N18" s="44">
        <f t="shared" si="6"/>
        <v>3.7353508708330869</v>
      </c>
      <c r="O18" s="34">
        <f t="shared" si="7"/>
        <v>15.05176725724878</v>
      </c>
      <c r="P18" s="34">
        <f t="shared" si="8"/>
        <v>0.8059091516557757</v>
      </c>
      <c r="Q18" s="34">
        <f t="shared" si="9"/>
        <v>15.857676408904556</v>
      </c>
      <c r="R18" s="35">
        <f>+'[14]Colector Simpson'!$AA$32</f>
        <v>94.265904889578792</v>
      </c>
      <c r="S18" s="69">
        <f t="shared" si="10"/>
        <v>110.12358129848334</v>
      </c>
      <c r="U18" s="46">
        <f t="shared" si="11"/>
        <v>110.12358129848334</v>
      </c>
      <c r="V18" s="46">
        <f t="shared" si="12"/>
        <v>0</v>
      </c>
    </row>
    <row r="19" spans="2:22" x14ac:dyDescent="0.3">
      <c r="B19" s="2">
        <f t="shared" si="2"/>
        <v>2035</v>
      </c>
      <c r="C19" s="3">
        <f t="shared" si="3"/>
        <v>198.89814015426231</v>
      </c>
      <c r="D19" s="3">
        <f t="shared" si="0"/>
        <v>198.89814015426231</v>
      </c>
      <c r="E19" s="3">
        <f t="shared" si="4"/>
        <v>1.0129799096747343</v>
      </c>
      <c r="F19" s="3">
        <f t="shared" si="4"/>
        <v>499.99999999999994</v>
      </c>
      <c r="G19" s="3">
        <f>+'[15]Colector Simpson'!$AB$32</f>
        <v>112.2414460689958</v>
      </c>
      <c r="H19" s="3">
        <f t="shared" si="1"/>
        <v>86.656694085266508</v>
      </c>
      <c r="K19" s="56">
        <f t="shared" si="5"/>
        <v>2035</v>
      </c>
      <c r="L19" s="9">
        <f>+'[15]Colector Simpson'!$V$32</f>
        <v>1260.0841438418436</v>
      </c>
      <c r="M19" s="34">
        <f>+'[15]Colector Simpson'!$U$32</f>
        <v>4.1109228987050725</v>
      </c>
      <c r="N19" s="44">
        <f t="shared" si="6"/>
        <v>3.733021996081042</v>
      </c>
      <c r="O19" s="34">
        <f t="shared" si="7"/>
        <v>15.346165605059273</v>
      </c>
      <c r="P19" s="34">
        <f t="shared" si="8"/>
        <v>0.82218457974101455</v>
      </c>
      <c r="Q19" s="34">
        <f t="shared" si="9"/>
        <v>16.168350184800289</v>
      </c>
      <c r="R19" s="35">
        <f>+'[15]Colector Simpson'!$AA$32</f>
        <v>96.07309588419551</v>
      </c>
      <c r="S19" s="69">
        <f t="shared" si="10"/>
        <v>112.2414460689958</v>
      </c>
      <c r="U19" s="46">
        <f t="shared" si="11"/>
        <v>112.2414460689958</v>
      </c>
      <c r="V19" s="46">
        <f t="shared" si="12"/>
        <v>0</v>
      </c>
    </row>
    <row r="20" spans="2:22" x14ac:dyDescent="0.3">
      <c r="B20" s="2">
        <f t="shared" si="2"/>
        <v>2036</v>
      </c>
      <c r="C20" s="3">
        <f t="shared" si="3"/>
        <v>198.89814015426231</v>
      </c>
      <c r="D20" s="3">
        <f t="shared" si="0"/>
        <v>198.89814015426231</v>
      </c>
      <c r="E20" s="3">
        <f t="shared" si="4"/>
        <v>1.0129799096747343</v>
      </c>
      <c r="F20" s="3">
        <f t="shared" si="4"/>
        <v>499.99999999999994</v>
      </c>
      <c r="G20" s="3">
        <f>+'[16]Colector Simpson'!$AB$32</f>
        <v>114.38370044814411</v>
      </c>
      <c r="H20" s="3">
        <f t="shared" si="1"/>
        <v>84.514439706118196</v>
      </c>
      <c r="K20" s="56">
        <f t="shared" si="5"/>
        <v>2036</v>
      </c>
      <c r="L20" s="9">
        <f>+'[16]Colector Simpson'!$V$32</f>
        <v>1269.8988581659983</v>
      </c>
      <c r="M20" s="34">
        <f>+'[16]Colector Simpson'!$U$32</f>
        <v>4.1933378281312663</v>
      </c>
      <c r="N20" s="44">
        <f t="shared" si="6"/>
        <v>3.730696084829157</v>
      </c>
      <c r="O20" s="34">
        <f t="shared" si="7"/>
        <v>15.644069017775315</v>
      </c>
      <c r="P20" s="34">
        <f t="shared" si="8"/>
        <v>0.83866756562625333</v>
      </c>
      <c r="Q20" s="34">
        <f t="shared" si="9"/>
        <v>16.482736583401568</v>
      </c>
      <c r="R20" s="35">
        <f>+'[16]Colector Simpson'!$AA$32</f>
        <v>97.90096386474255</v>
      </c>
      <c r="S20" s="69">
        <f t="shared" si="10"/>
        <v>114.38370044814411</v>
      </c>
      <c r="U20" s="46">
        <f t="shared" si="11"/>
        <v>114.38370044814411</v>
      </c>
      <c r="V20" s="46">
        <f t="shared" si="12"/>
        <v>0</v>
      </c>
    </row>
    <row r="21" spans="2:22" ht="13.8" thickBot="1" x14ac:dyDescent="0.35">
      <c r="B21" s="2">
        <f t="shared" si="2"/>
        <v>2037</v>
      </c>
      <c r="C21" s="3">
        <f t="shared" si="3"/>
        <v>198.89814015426231</v>
      </c>
      <c r="D21" s="3">
        <f t="shared" si="0"/>
        <v>198.89814015426231</v>
      </c>
      <c r="E21" s="3">
        <f t="shared" si="4"/>
        <v>1.0129799096747343</v>
      </c>
      <c r="F21" s="3">
        <f t="shared" si="4"/>
        <v>499.99999999999994</v>
      </c>
      <c r="G21" s="3">
        <f>+'[17]Colector Simpson'!$AB$32</f>
        <v>116.52901262225349</v>
      </c>
      <c r="H21" s="3">
        <f t="shared" si="1"/>
        <v>82.369127532008818</v>
      </c>
      <c r="I21" s="13">
        <f>+G21/G6-1</f>
        <v>0.36651435156868817</v>
      </c>
      <c r="K21" s="58">
        <f t="shared" si="5"/>
        <v>2037</v>
      </c>
      <c r="L21" s="59">
        <f>+'[17]Colector Simpson'!$V$32</f>
        <v>1279.7727482009791</v>
      </c>
      <c r="M21" s="60">
        <f>+'[17]Colector Simpson'!$U$32</f>
        <v>4.276017017850914</v>
      </c>
      <c r="N21" s="61">
        <f t="shared" si="6"/>
        <v>3.7283691702312005</v>
      </c>
      <c r="O21" s="60">
        <f t="shared" si="7"/>
        <v>15.942570020739305</v>
      </c>
      <c r="P21" s="60">
        <f t="shared" si="8"/>
        <v>0.85520340357018287</v>
      </c>
      <c r="Q21" s="60">
        <f t="shared" si="9"/>
        <v>16.797773424309487</v>
      </c>
      <c r="R21" s="65">
        <f>+'[17]Colector Simpson'!$AA$32</f>
        <v>99.731239197944006</v>
      </c>
      <c r="S21" s="70">
        <f t="shared" si="10"/>
        <v>116.52901262225349</v>
      </c>
      <c r="U21" s="46">
        <f>+G21</f>
        <v>116.52901262225349</v>
      </c>
      <c r="V21" s="46">
        <f t="shared" si="12"/>
        <v>0</v>
      </c>
    </row>
    <row r="22" spans="2:22" x14ac:dyDescent="0.3">
      <c r="K22" s="43"/>
      <c r="L22" s="9"/>
    </row>
    <row r="23" spans="2:22" x14ac:dyDescent="0.3">
      <c r="L23" s="9"/>
    </row>
    <row r="24" spans="2:22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1:W45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9</v>
      </c>
      <c r="E2" s="6" t="s">
        <v>7</v>
      </c>
      <c r="F2" s="7">
        <f>+'[17]Colector Ecuador I-II'!$N$23</f>
        <v>411</v>
      </c>
      <c r="G2" s="8" t="s">
        <v>8</v>
      </c>
      <c r="I2" s="16" t="s">
        <v>65</v>
      </c>
      <c r="J2" s="17">
        <v>442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105</v>
      </c>
      <c r="P3" s="12" t="s">
        <v>107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106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Balmaceda'!B6</f>
        <v>2022</v>
      </c>
      <c r="C6" s="3">
        <f>+SUMPRODUCT('[17]Colector Ecuador I-II'!$AL$17:$AL$23,'[17]Colector Ecuador I-II'!$M$17:$M$23)/F2</f>
        <v>53.216686413475848</v>
      </c>
      <c r="D6" s="3">
        <f t="shared" ref="D6:D21" si="0">+C6</f>
        <v>53.216686413475848</v>
      </c>
      <c r="E6" s="3">
        <f>D6/(0.25*PI()*(F6/1000)^2)/1000</f>
        <v>1.2227707205546106</v>
      </c>
      <c r="F6" s="3">
        <f>+SUMPRODUCT('[17]Colector Ecuador I-II'!$F$17:$F$23,'[17]Colector Ecuador I-II'!$M$17:$M$23)/F2</f>
        <v>235.39999999999998</v>
      </c>
      <c r="G6" s="3">
        <f>+'[2]Colector Ecuador I-II'!$AB$23</f>
        <v>24.501907699897782</v>
      </c>
      <c r="H6" s="3">
        <f t="shared" ref="H6:H21" si="1">+D6-G6</f>
        <v>28.714778713578067</v>
      </c>
      <c r="L6" s="56">
        <f>+B6</f>
        <v>2022</v>
      </c>
      <c r="M6" s="9">
        <f>+'[2]Colector Ecuador I-II'!$Q$17</f>
        <v>59.7110533922624</v>
      </c>
      <c r="N6" s="34">
        <f>+'[2]Colector Ecuador I-II'!$P$17</f>
        <v>9.2877858895046336E-2</v>
      </c>
      <c r="O6" s="44"/>
      <c r="P6" s="34">
        <f>+'[2]Colector Ecuador I-II'!$Y$17</f>
        <v>2.7002061129726012</v>
      </c>
      <c r="Q6" s="34">
        <f>+$Q$4*N6</f>
        <v>1.8575571779009269E-2</v>
      </c>
      <c r="R6" s="34">
        <f>+Q6+P6</f>
        <v>2.7187816847516104</v>
      </c>
      <c r="S6" s="34">
        <f>+'[2]Colector Ecuador I-II'!$AA$17</f>
        <v>21.78312601514617</v>
      </c>
      <c r="T6" s="69">
        <f>+S6+R6</f>
        <v>24.501907699897782</v>
      </c>
      <c r="V6" s="46">
        <f>+G6</f>
        <v>24.501907699897782</v>
      </c>
      <c r="W6" s="46">
        <f>+T6-V6</f>
        <v>0</v>
      </c>
    </row>
    <row r="7" spans="1:23" x14ac:dyDescent="0.3">
      <c r="B7" s="2">
        <f t="shared" ref="B7:B21" si="2">+B6+1</f>
        <v>2023</v>
      </c>
      <c r="C7" s="3">
        <f t="shared" ref="C7:C21" si="3">+C6</f>
        <v>53.216686413475848</v>
      </c>
      <c r="D7" s="3">
        <f t="shared" si="0"/>
        <v>53.216686413475848</v>
      </c>
      <c r="E7" s="3">
        <f t="shared" ref="E7:F21" si="4">+E6</f>
        <v>1.2227707205546106</v>
      </c>
      <c r="F7" s="3">
        <f t="shared" si="4"/>
        <v>235.39999999999998</v>
      </c>
      <c r="G7" s="3">
        <f>+'[3]Colector Ecuador I-II'!$AB$23</f>
        <v>25.183963654104854</v>
      </c>
      <c r="H7" s="3">
        <f t="shared" si="1"/>
        <v>28.032722759370994</v>
      </c>
      <c r="L7" s="56">
        <f t="shared" ref="L7:L21" si="5">+B7</f>
        <v>2023</v>
      </c>
      <c r="M7" s="9">
        <f>+'[3]Colector Ecuador I-II'!$Q$17</f>
        <v>60.194554154662619</v>
      </c>
      <c r="N7" s="34">
        <f>+'[3]Colector Ecuador I-II'!$P$17</f>
        <v>9.5808422332236978E-2</v>
      </c>
      <c r="O7" s="44"/>
      <c r="P7" s="34">
        <f>+'[3]Colector Ecuador I-II'!$Y$17</f>
        <v>2.7138983123131326</v>
      </c>
      <c r="Q7" s="34">
        <f t="shared" ref="Q7:Q21" si="6">+$Q$4*N7</f>
        <v>1.9161684466447396E-2</v>
      </c>
      <c r="R7" s="34">
        <f t="shared" ref="R7:R21" si="7">+Q7+P7</f>
        <v>2.7330599967795801</v>
      </c>
      <c r="S7" s="34">
        <f>+'[3]Colector Ecuador I-II'!$AA$17</f>
        <v>22.450903657325274</v>
      </c>
      <c r="T7" s="69">
        <f t="shared" ref="T7:T21" si="8">+S7+R7</f>
        <v>25.183963654104854</v>
      </c>
      <c r="V7" s="46">
        <f t="shared" ref="V7:V21" si="9">+G7</f>
        <v>25.183963654104854</v>
      </c>
      <c r="W7" s="46">
        <f t="shared" ref="W7:W21" si="10">+T7-V7</f>
        <v>0</v>
      </c>
    </row>
    <row r="8" spans="1:23" x14ac:dyDescent="0.3">
      <c r="B8" s="2">
        <f t="shared" si="2"/>
        <v>2024</v>
      </c>
      <c r="C8" s="3">
        <f t="shared" si="3"/>
        <v>53.216686413475848</v>
      </c>
      <c r="D8" s="3">
        <f t="shared" si="0"/>
        <v>53.216686413475848</v>
      </c>
      <c r="E8" s="3">
        <f t="shared" si="4"/>
        <v>1.2227707205546106</v>
      </c>
      <c r="F8" s="3">
        <f t="shared" si="4"/>
        <v>235.39999999999998</v>
      </c>
      <c r="G8" s="3">
        <f>+'[4]Colector Ecuador I-II'!$AB$23</f>
        <v>25.697341898255271</v>
      </c>
      <c r="H8" s="3">
        <f t="shared" si="1"/>
        <v>27.519344515220578</v>
      </c>
      <c r="L8" s="56">
        <f t="shared" si="5"/>
        <v>2024</v>
      </c>
      <c r="M8" s="9">
        <f>+'[4]Colector Ecuador I-II'!$Q$17</f>
        <v>60.680274847101401</v>
      </c>
      <c r="N8" s="34">
        <f>+'[4]Colector Ecuador I-II'!$P$17</f>
        <v>9.8024206702359867E-2</v>
      </c>
      <c r="O8" s="44"/>
      <c r="P8" s="34">
        <f>+'[4]Colector Ecuador I-II'!$Y$17</f>
        <v>2.7275592233994499</v>
      </c>
      <c r="Q8" s="34">
        <f t="shared" si="6"/>
        <v>1.9604841340471975E-2</v>
      </c>
      <c r="R8" s="34">
        <f t="shared" si="7"/>
        <v>2.747164064739922</v>
      </c>
      <c r="S8" s="34">
        <f>+'[4]Colector Ecuador I-II'!$AA$17</f>
        <v>22.950177833515347</v>
      </c>
      <c r="T8" s="69">
        <f t="shared" si="8"/>
        <v>25.697341898255271</v>
      </c>
      <c r="V8" s="46">
        <f t="shared" si="9"/>
        <v>25.697341898255271</v>
      </c>
      <c r="W8" s="46">
        <f t="shared" si="10"/>
        <v>0</v>
      </c>
    </row>
    <row r="9" spans="1:23" x14ac:dyDescent="0.3">
      <c r="B9" s="2">
        <f t="shared" si="2"/>
        <v>2025</v>
      </c>
      <c r="C9" s="3">
        <f t="shared" si="3"/>
        <v>53.216686413475848</v>
      </c>
      <c r="D9" s="3">
        <f t="shared" si="0"/>
        <v>53.216686413475848</v>
      </c>
      <c r="E9" s="3">
        <f t="shared" si="4"/>
        <v>1.2227707205546106</v>
      </c>
      <c r="F9" s="3">
        <f t="shared" si="4"/>
        <v>235.39999999999998</v>
      </c>
      <c r="G9" s="3">
        <f>+'[5]Colector Ecuador I-II'!$AB$23</f>
        <v>26.212163703957767</v>
      </c>
      <c r="H9" s="3">
        <f t="shared" si="1"/>
        <v>27.004522709518081</v>
      </c>
      <c r="L9" s="56">
        <f t="shared" si="5"/>
        <v>2025</v>
      </c>
      <c r="M9" s="9">
        <f>+'[5]Colector Ecuador I-II'!$Q$17</f>
        <v>61.167771483571038</v>
      </c>
      <c r="N9" s="34">
        <f>+'[5]Colector Ecuador I-II'!$P$17</f>
        <v>0.10024994236325117</v>
      </c>
      <c r="O9" s="44"/>
      <c r="P9" s="34">
        <f>+'[5]Colector Ecuador I-II'!$Y$17</f>
        <v>2.7411751949374921</v>
      </c>
      <c r="Q9" s="34">
        <f t="shared" si="6"/>
        <v>2.0049988472650236E-2</v>
      </c>
      <c r="R9" s="34">
        <f t="shared" si="7"/>
        <v>2.7612251834101422</v>
      </c>
      <c r="S9" s="34">
        <f>+'[5]Colector Ecuador I-II'!$AA$17</f>
        <v>23.450938520547624</v>
      </c>
      <c r="T9" s="69">
        <f t="shared" si="8"/>
        <v>26.212163703957767</v>
      </c>
      <c r="V9" s="46">
        <f t="shared" si="9"/>
        <v>26.212163703957767</v>
      </c>
      <c r="W9" s="46">
        <f t="shared" si="10"/>
        <v>0</v>
      </c>
    </row>
    <row r="10" spans="1:23" x14ac:dyDescent="0.3">
      <c r="B10" s="2">
        <f t="shared" si="2"/>
        <v>2026</v>
      </c>
      <c r="C10" s="3">
        <f t="shared" si="3"/>
        <v>53.216686413475848</v>
      </c>
      <c r="D10" s="3">
        <f t="shared" si="0"/>
        <v>53.216686413475848</v>
      </c>
      <c r="E10" s="3">
        <f t="shared" si="4"/>
        <v>1.2227707205546106</v>
      </c>
      <c r="F10" s="3">
        <f t="shared" si="4"/>
        <v>235.39999999999998</v>
      </c>
      <c r="G10" s="3">
        <f>+'[6]Colector Ecuador I-II'!$AB$23</f>
        <v>26.732182087381776</v>
      </c>
      <c r="H10" s="3">
        <f t="shared" si="1"/>
        <v>26.484504326094072</v>
      </c>
      <c r="L10" s="56">
        <f t="shared" si="5"/>
        <v>2026</v>
      </c>
      <c r="M10" s="9">
        <f>+'[6]Colector Ecuador I-II'!$Q$17</f>
        <v>61.657932036086954</v>
      </c>
      <c r="N10" s="34">
        <f>+'[6]Colector Ecuador I-II'!$P$17</f>
        <v>0.10250174324198354</v>
      </c>
      <c r="O10" s="44"/>
      <c r="P10" s="34">
        <f>+'[6]Colector Ecuador I-II'!$Y$17</f>
        <v>2.7547697288940038</v>
      </c>
      <c r="Q10" s="34">
        <f t="shared" si="6"/>
        <v>2.0500348648396709E-2</v>
      </c>
      <c r="R10" s="34">
        <f t="shared" si="7"/>
        <v>2.7752700775424004</v>
      </c>
      <c r="S10" s="34">
        <f>+'[6]Colector Ecuador I-II'!$AA$17</f>
        <v>23.956912009839375</v>
      </c>
      <c r="T10" s="69">
        <f t="shared" si="8"/>
        <v>26.732182087381776</v>
      </c>
      <c r="V10" s="46">
        <f t="shared" si="9"/>
        <v>26.732182087381776</v>
      </c>
      <c r="W10" s="46">
        <f t="shared" si="10"/>
        <v>0</v>
      </c>
    </row>
    <row r="11" spans="1:23" x14ac:dyDescent="0.3">
      <c r="B11" s="2">
        <f t="shared" si="2"/>
        <v>2027</v>
      </c>
      <c r="C11" s="3">
        <f t="shared" si="3"/>
        <v>53.216686413475848</v>
      </c>
      <c r="D11" s="3">
        <f t="shared" si="0"/>
        <v>53.216686413475848</v>
      </c>
      <c r="E11" s="3">
        <f t="shared" si="4"/>
        <v>1.2227707205546106</v>
      </c>
      <c r="F11" s="3">
        <f t="shared" si="4"/>
        <v>235.39999999999998</v>
      </c>
      <c r="G11" s="3">
        <f>+'[7]Colector Ecuador I-II'!$AB$23</f>
        <v>27.256442447382376</v>
      </c>
      <c r="H11" s="3">
        <f t="shared" si="1"/>
        <v>25.960243966093472</v>
      </c>
      <c r="L11" s="56">
        <f t="shared" si="5"/>
        <v>2027</v>
      </c>
      <c r="M11" s="9">
        <f>+'[7]Colector Ecuador I-II'!$Q$17</f>
        <v>62.150312518641442</v>
      </c>
      <c r="N11" s="34">
        <f>+'[7]Colector Ecuador I-II'!$P$17</f>
        <v>0.1047755616037231</v>
      </c>
      <c r="O11" s="44"/>
      <c r="P11" s="34">
        <f>+'[7]Colector Ecuador I-II'!$Y$17</f>
        <v>2.7683290754919874</v>
      </c>
      <c r="Q11" s="34">
        <f t="shared" si="6"/>
        <v>2.0955112320744623E-2</v>
      </c>
      <c r="R11" s="34">
        <f t="shared" si="7"/>
        <v>2.7892841878127319</v>
      </c>
      <c r="S11" s="34">
        <f>+'[7]Colector Ecuador I-II'!$AA$17</f>
        <v>24.467158259569644</v>
      </c>
      <c r="T11" s="69">
        <f t="shared" si="8"/>
        <v>27.256442447382376</v>
      </c>
      <c r="V11" s="46">
        <f t="shared" si="9"/>
        <v>27.256442447382376</v>
      </c>
      <c r="W11" s="46">
        <f t="shared" si="10"/>
        <v>0</v>
      </c>
    </row>
    <row r="12" spans="1:23" x14ac:dyDescent="0.3">
      <c r="B12" s="2">
        <f t="shared" si="2"/>
        <v>2028</v>
      </c>
      <c r="C12" s="3">
        <f t="shared" si="3"/>
        <v>53.216686413475848</v>
      </c>
      <c r="D12" s="3">
        <f t="shared" si="0"/>
        <v>53.216686413475848</v>
      </c>
      <c r="E12" s="3">
        <f t="shared" si="4"/>
        <v>1.2227707205546106</v>
      </c>
      <c r="F12" s="3">
        <f t="shared" si="4"/>
        <v>235.39999999999998</v>
      </c>
      <c r="G12" s="3">
        <f>+'[8]Colector Ecuador I-II'!$AB$23</f>
        <v>27.786896982809871</v>
      </c>
      <c r="H12" s="3">
        <f t="shared" si="1"/>
        <v>25.429789430665977</v>
      </c>
      <c r="L12" s="56">
        <f t="shared" si="5"/>
        <v>2028</v>
      </c>
      <c r="M12" s="9">
        <f>+'[8]Colector Ecuador I-II'!$Q$17</f>
        <v>62.645356917242218</v>
      </c>
      <c r="N12" s="34">
        <f>+'[8]Colector Ecuador I-II'!$P$17</f>
        <v>0.10707983892466798</v>
      </c>
      <c r="O12" s="44"/>
      <c r="P12" s="34">
        <f>+'[8]Colector Ecuador I-II'!$Y$17</f>
        <v>2.7818640181140344</v>
      </c>
      <c r="Q12" s="34">
        <f t="shared" si="6"/>
        <v>2.1415967784933598E-2</v>
      </c>
      <c r="R12" s="34">
        <f t="shared" si="7"/>
        <v>2.8032799858989681</v>
      </c>
      <c r="S12" s="34">
        <f>+'[8]Colector Ecuador I-II'!$AA$17</f>
        <v>24.983616996910904</v>
      </c>
      <c r="T12" s="69">
        <f t="shared" si="8"/>
        <v>27.786896982809871</v>
      </c>
      <c r="V12" s="46">
        <f t="shared" si="9"/>
        <v>27.786896982809871</v>
      </c>
      <c r="W12" s="46">
        <f t="shared" si="10"/>
        <v>0</v>
      </c>
    </row>
    <row r="13" spans="1:23" x14ac:dyDescent="0.3">
      <c r="B13" s="2">
        <f t="shared" si="2"/>
        <v>2029</v>
      </c>
      <c r="C13" s="3">
        <f t="shared" si="3"/>
        <v>53.216686413475848</v>
      </c>
      <c r="D13" s="3">
        <f t="shared" si="0"/>
        <v>53.216686413475848</v>
      </c>
      <c r="E13" s="3">
        <f t="shared" si="4"/>
        <v>1.2227707205546106</v>
      </c>
      <c r="F13" s="3">
        <f t="shared" si="4"/>
        <v>235.39999999999998</v>
      </c>
      <c r="G13" s="3">
        <f>+'[9]Colector Ecuador I-II'!$AB$23</f>
        <v>28.318603014449465</v>
      </c>
      <c r="H13" s="3">
        <f t="shared" si="1"/>
        <v>24.898083399026383</v>
      </c>
      <c r="L13" s="56">
        <f t="shared" si="5"/>
        <v>2029</v>
      </c>
      <c r="M13" s="9">
        <f>+'[9]Colector Ecuador I-II'!$Q$17</f>
        <v>63.142177259873847</v>
      </c>
      <c r="N13" s="34">
        <f>+'[9]Colector Ecuador I-II'!$P$17</f>
        <v>0.10939340246440875</v>
      </c>
      <c r="O13" s="44"/>
      <c r="P13" s="34">
        <f>+'[9]Colector Ecuador I-II'!$Y$17</f>
        <v>2.7953489608679361</v>
      </c>
      <c r="Q13" s="34">
        <f t="shared" si="6"/>
        <v>2.187868049288175E-2</v>
      </c>
      <c r="R13" s="34">
        <f t="shared" si="7"/>
        <v>2.8172276413608177</v>
      </c>
      <c r="S13" s="34">
        <f>+'[9]Colector Ecuador I-II'!$AA$17</f>
        <v>25.501375373088649</v>
      </c>
      <c r="T13" s="69">
        <f t="shared" si="8"/>
        <v>28.318603014449465</v>
      </c>
      <c r="V13" s="46">
        <f t="shared" si="9"/>
        <v>28.318603014449465</v>
      </c>
      <c r="W13" s="46">
        <f t="shared" si="10"/>
        <v>0</v>
      </c>
    </row>
    <row r="14" spans="1:23" x14ac:dyDescent="0.3">
      <c r="B14" s="2">
        <f t="shared" si="2"/>
        <v>2030</v>
      </c>
      <c r="C14" s="3">
        <f t="shared" si="3"/>
        <v>53.216686413475848</v>
      </c>
      <c r="D14" s="3">
        <f t="shared" si="0"/>
        <v>53.216686413475848</v>
      </c>
      <c r="E14" s="3">
        <f t="shared" si="4"/>
        <v>1.2227707205546106</v>
      </c>
      <c r="F14" s="3">
        <f t="shared" si="4"/>
        <v>235.39999999999998</v>
      </c>
      <c r="G14" s="3">
        <f>+'[10]Colector Ecuador I-II'!$AB$23</f>
        <v>28.855516564722745</v>
      </c>
      <c r="H14" s="3">
        <f t="shared" si="1"/>
        <v>24.361169848753104</v>
      </c>
      <c r="L14" s="56">
        <f t="shared" si="5"/>
        <v>2030</v>
      </c>
      <c r="M14" s="9">
        <f>+'[10]Colector Ecuador I-II'!$Q$17</f>
        <v>63.64166151855175</v>
      </c>
      <c r="N14" s="34">
        <f>+'[10]Colector Ecuador I-II'!$P$17</f>
        <v>0.11173330343610555</v>
      </c>
      <c r="O14" s="44"/>
      <c r="P14" s="34">
        <f>+'[10]Colector Ecuador I-II'!$Y$17</f>
        <v>2.8088066812518746</v>
      </c>
      <c r="Q14" s="34">
        <f t="shared" si="6"/>
        <v>2.2346660687221111E-2</v>
      </c>
      <c r="R14" s="34">
        <f t="shared" si="7"/>
        <v>2.8311533419390957</v>
      </c>
      <c r="S14" s="34">
        <f>+'[10]Colector Ecuador I-II'!$AA$17</f>
        <v>26.024363222783649</v>
      </c>
      <c r="T14" s="69">
        <f t="shared" si="8"/>
        <v>28.855516564722745</v>
      </c>
      <c r="V14" s="46">
        <f t="shared" si="9"/>
        <v>28.855516564722745</v>
      </c>
      <c r="W14" s="46">
        <f t="shared" si="10"/>
        <v>0</v>
      </c>
    </row>
    <row r="15" spans="1:23" x14ac:dyDescent="0.3">
      <c r="B15" s="2">
        <f t="shared" si="2"/>
        <v>2031</v>
      </c>
      <c r="C15" s="3">
        <f t="shared" si="3"/>
        <v>53.216686413475848</v>
      </c>
      <c r="D15" s="3">
        <f t="shared" si="0"/>
        <v>53.216686413475848</v>
      </c>
      <c r="E15" s="3">
        <f t="shared" si="4"/>
        <v>1.2227707205546106</v>
      </c>
      <c r="F15" s="3">
        <f t="shared" si="4"/>
        <v>235.39999999999998</v>
      </c>
      <c r="G15" s="3">
        <f>+'[11]Colector Ecuador I-II'!$AB$23</f>
        <v>29.396616066151203</v>
      </c>
      <c r="H15" s="3">
        <f t="shared" si="1"/>
        <v>23.820070347324645</v>
      </c>
      <c r="L15" s="56">
        <f t="shared" si="5"/>
        <v>2031</v>
      </c>
      <c r="M15" s="9">
        <f>+'[11]Colector Ecuador I-II'!$Q$17</f>
        <v>64.143809693275941</v>
      </c>
      <c r="N15" s="34">
        <f>+'[11]Colector Ecuador I-II'!$P$17</f>
        <v>0.11409522189080958</v>
      </c>
      <c r="O15" s="44"/>
      <c r="P15" s="34">
        <f>+'[11]Colector Ecuador I-II'!$Y$17</f>
        <v>2.8222355825648915</v>
      </c>
      <c r="Q15" s="34">
        <f t="shared" si="6"/>
        <v>2.2819044378161915E-2</v>
      </c>
      <c r="R15" s="34">
        <f t="shared" si="7"/>
        <v>2.8450546269430532</v>
      </c>
      <c r="S15" s="34">
        <f>+'[11]Colector Ecuador I-II'!$AA$17</f>
        <v>26.55156143920815</v>
      </c>
      <c r="T15" s="69">
        <f t="shared" si="8"/>
        <v>29.396616066151203</v>
      </c>
      <c r="V15" s="46">
        <f t="shared" si="9"/>
        <v>29.396616066151203</v>
      </c>
      <c r="W15" s="46">
        <f t="shared" si="10"/>
        <v>0</v>
      </c>
    </row>
    <row r="16" spans="1:23" x14ac:dyDescent="0.3">
      <c r="B16" s="2">
        <f t="shared" si="2"/>
        <v>2032</v>
      </c>
      <c r="C16" s="3">
        <f t="shared" si="3"/>
        <v>53.216686413475848</v>
      </c>
      <c r="D16" s="3">
        <f t="shared" si="0"/>
        <v>53.216686413475848</v>
      </c>
      <c r="E16" s="3">
        <f t="shared" si="4"/>
        <v>1.2227707205546106</v>
      </c>
      <c r="F16" s="3">
        <f t="shared" si="4"/>
        <v>235.39999999999998</v>
      </c>
      <c r="G16" s="3">
        <f>+'[12]Colector Ecuador I-II'!$AB$23</f>
        <v>29.943944649750854</v>
      </c>
      <c r="H16" s="3">
        <f t="shared" si="1"/>
        <v>23.272741763724994</v>
      </c>
      <c r="L16" s="56">
        <f t="shared" si="5"/>
        <v>2032</v>
      </c>
      <c r="M16" s="9">
        <f>+'[12]Colector Ecuador I-II'!$Q$17</f>
        <v>64.648621784046412</v>
      </c>
      <c r="N16" s="34">
        <f>+'[12]Colector Ecuador I-II'!$P$17</f>
        <v>0.1164879921625764</v>
      </c>
      <c r="O16" s="44"/>
      <c r="P16" s="34">
        <f>+'[12]Colector Ecuador I-II'!$Y$17</f>
        <v>2.8356340595902911</v>
      </c>
      <c r="Q16" s="34">
        <f t="shared" si="6"/>
        <v>2.329759843251528E-2</v>
      </c>
      <c r="R16" s="34">
        <f t="shared" si="7"/>
        <v>2.8589316580228066</v>
      </c>
      <c r="S16" s="34">
        <f>+'[12]Colector Ecuador I-II'!$AA$17</f>
        <v>27.085012991728046</v>
      </c>
      <c r="T16" s="69">
        <f t="shared" si="8"/>
        <v>29.943944649750854</v>
      </c>
      <c r="V16" s="46">
        <f t="shared" si="9"/>
        <v>29.943944649750854</v>
      </c>
      <c r="W16" s="46">
        <f t="shared" si="10"/>
        <v>0</v>
      </c>
    </row>
    <row r="17" spans="2:23" x14ac:dyDescent="0.3">
      <c r="B17" s="2">
        <f t="shared" si="2"/>
        <v>2033</v>
      </c>
      <c r="C17" s="3">
        <f t="shared" si="3"/>
        <v>53.216686413475848</v>
      </c>
      <c r="D17" s="3">
        <f t="shared" si="0"/>
        <v>53.216686413475848</v>
      </c>
      <c r="E17" s="3">
        <f t="shared" si="4"/>
        <v>1.2227707205546106</v>
      </c>
      <c r="F17" s="3">
        <f t="shared" si="4"/>
        <v>235.39999999999998</v>
      </c>
      <c r="G17" s="3">
        <f>+'[13]Colector Ecuador I-II'!$AB$23</f>
        <v>30.492306262625196</v>
      </c>
      <c r="H17" s="3">
        <f t="shared" si="1"/>
        <v>22.724380150850653</v>
      </c>
      <c r="L17" s="56">
        <f t="shared" si="5"/>
        <v>2033</v>
      </c>
      <c r="M17" s="9">
        <f>+'[13]Colector Ecuador I-II'!$Q$17</f>
        <v>65.156541776870895</v>
      </c>
      <c r="N17" s="34">
        <f>+'[13]Colector Ecuador I-II'!$P$17</f>
        <v>0.11888938358116657</v>
      </c>
      <c r="O17" s="44"/>
      <c r="P17" s="34">
        <f>+'[13]Colector Ecuador I-II'!$Y$17</f>
        <v>2.8490121476661234</v>
      </c>
      <c r="Q17" s="34">
        <f t="shared" si="6"/>
        <v>2.3777876716233316E-2</v>
      </c>
      <c r="R17" s="34">
        <f t="shared" si="7"/>
        <v>2.8727900243823568</v>
      </c>
      <c r="S17" s="34">
        <f>+'[13]Colector Ecuador I-II'!$AA$17</f>
        <v>27.619516238242838</v>
      </c>
      <c r="T17" s="69">
        <f t="shared" si="8"/>
        <v>30.492306262625196</v>
      </c>
      <c r="V17" s="46">
        <f t="shared" si="9"/>
        <v>30.492306262625196</v>
      </c>
      <c r="W17" s="46">
        <f t="shared" si="10"/>
        <v>0</v>
      </c>
    </row>
    <row r="18" spans="2:23" x14ac:dyDescent="0.3">
      <c r="B18" s="2">
        <f t="shared" si="2"/>
        <v>2034</v>
      </c>
      <c r="C18" s="3">
        <f t="shared" si="3"/>
        <v>53.216686413475848</v>
      </c>
      <c r="D18" s="3">
        <f t="shared" si="0"/>
        <v>53.216686413475848</v>
      </c>
      <c r="E18" s="3">
        <f t="shared" si="4"/>
        <v>1.2227707205546106</v>
      </c>
      <c r="F18" s="3">
        <f t="shared" si="4"/>
        <v>235.39999999999998</v>
      </c>
      <c r="G18" s="3">
        <f>+'[14]Colector Ecuador I-II'!$AB$23</f>
        <v>31.045902669790788</v>
      </c>
      <c r="H18" s="3">
        <f t="shared" si="1"/>
        <v>22.17078374368506</v>
      </c>
      <c r="L18" s="56">
        <f t="shared" si="5"/>
        <v>2034</v>
      </c>
      <c r="M18" s="9">
        <f>+'[14]Colector Ecuador I-II'!$Q$17</f>
        <v>65.666237713726204</v>
      </c>
      <c r="N18" s="34">
        <f>+'[14]Colector Ecuador I-II'!$P$17</f>
        <v>0.12131738464582781</v>
      </c>
      <c r="O18" s="44"/>
      <c r="P18" s="34">
        <f>+'[14]Colector Ecuador I-II'!$Y$17</f>
        <v>2.8623332773327608</v>
      </c>
      <c r="Q18" s="34">
        <f t="shared" si="6"/>
        <v>2.4263476929165563E-2</v>
      </c>
      <c r="R18" s="34">
        <f t="shared" si="7"/>
        <v>2.8865967542619262</v>
      </c>
      <c r="S18" s="34">
        <f>+'[14]Colector Ecuador I-II'!$AA$17</f>
        <v>28.159305915528861</v>
      </c>
      <c r="T18" s="69">
        <f t="shared" si="8"/>
        <v>31.045902669790788</v>
      </c>
      <c r="V18" s="46">
        <f t="shared" si="9"/>
        <v>31.045902669790788</v>
      </c>
      <c r="W18" s="46">
        <f t="shared" si="10"/>
        <v>0</v>
      </c>
    </row>
    <row r="19" spans="2:23" x14ac:dyDescent="0.3">
      <c r="B19" s="2">
        <f t="shared" si="2"/>
        <v>2035</v>
      </c>
      <c r="C19" s="3">
        <f t="shared" si="3"/>
        <v>53.216686413475848</v>
      </c>
      <c r="D19" s="3">
        <f t="shared" si="0"/>
        <v>53.216686413475848</v>
      </c>
      <c r="E19" s="3">
        <f t="shared" si="4"/>
        <v>1.2227707205546106</v>
      </c>
      <c r="F19" s="3">
        <f t="shared" si="4"/>
        <v>235.39999999999998</v>
      </c>
      <c r="G19" s="3">
        <f>+'[15]Colector Ecuador I-II'!$AB$23</f>
        <v>31.603615330227598</v>
      </c>
      <c r="H19" s="3">
        <f t="shared" si="1"/>
        <v>21.613071083248251</v>
      </c>
      <c r="L19" s="56">
        <f t="shared" si="5"/>
        <v>2035</v>
      </c>
      <c r="M19" s="9">
        <f>+'[15]Colector Ecuador I-II'!$Q$17</f>
        <v>66.179485538643249</v>
      </c>
      <c r="N19" s="34">
        <f>+'[15]Colector Ecuador I-II'!$P$17</f>
        <v>0.12376740319349633</v>
      </c>
      <c r="O19" s="44"/>
      <c r="P19" s="34">
        <f>+'[15]Colector Ecuador I-II'!$Y$17</f>
        <v>2.8756422324391435</v>
      </c>
      <c r="Q19" s="34">
        <f t="shared" si="6"/>
        <v>2.4753480638699268E-2</v>
      </c>
      <c r="R19" s="34">
        <f t="shared" si="7"/>
        <v>2.9003957130778426</v>
      </c>
      <c r="S19" s="34">
        <f>+'[15]Colector Ecuador I-II'!$AA$17</f>
        <v>28.703219617149756</v>
      </c>
      <c r="T19" s="69">
        <f t="shared" si="8"/>
        <v>31.603615330227598</v>
      </c>
      <c r="V19" s="46">
        <f t="shared" si="9"/>
        <v>31.603615330227598</v>
      </c>
      <c r="W19" s="46">
        <f t="shared" si="10"/>
        <v>0</v>
      </c>
    </row>
    <row r="20" spans="2:23" x14ac:dyDescent="0.3">
      <c r="B20" s="2">
        <f t="shared" si="2"/>
        <v>2036</v>
      </c>
      <c r="C20" s="3">
        <f t="shared" si="3"/>
        <v>53.216686413475848</v>
      </c>
      <c r="D20" s="3">
        <f t="shared" si="0"/>
        <v>53.216686413475848</v>
      </c>
      <c r="E20" s="3">
        <f t="shared" si="4"/>
        <v>1.2227707205546106</v>
      </c>
      <c r="F20" s="3">
        <f t="shared" si="4"/>
        <v>235.39999999999998</v>
      </c>
      <c r="G20" s="3">
        <f>+'[16]Colector Ecuador I-II'!$AB$23</f>
        <v>32.167600129650715</v>
      </c>
      <c r="H20" s="3">
        <f t="shared" si="1"/>
        <v>21.049086283825133</v>
      </c>
      <c r="L20" s="56">
        <f t="shared" si="5"/>
        <v>2036</v>
      </c>
      <c r="M20" s="9">
        <f>+'[16]Colector Ecuador I-II'!$Q$17</f>
        <v>66.694953293598843</v>
      </c>
      <c r="N20" s="34">
        <f>+'[16]Colector Ecuador I-II'!$P$17</f>
        <v>0.12624866641608518</v>
      </c>
      <c r="O20" s="44"/>
      <c r="P20" s="34">
        <f>+'[16]Colector Ecuador I-II'!$Y$17</f>
        <v>2.8889026982881534</v>
      </c>
      <c r="Q20" s="34">
        <f t="shared" si="6"/>
        <v>2.5249733283217037E-2</v>
      </c>
      <c r="R20" s="34">
        <f t="shared" si="7"/>
        <v>2.9141524315713703</v>
      </c>
      <c r="S20" s="34">
        <f>+'[16]Colector Ecuador I-II'!$AA$17</f>
        <v>29.253447698079345</v>
      </c>
      <c r="T20" s="69">
        <f t="shared" si="8"/>
        <v>32.167600129650715</v>
      </c>
      <c r="V20" s="46">
        <f t="shared" si="9"/>
        <v>32.167600129650715</v>
      </c>
      <c r="W20" s="46">
        <f t="shared" si="10"/>
        <v>0</v>
      </c>
    </row>
    <row r="21" spans="2:23" ht="13.8" thickBot="1" x14ac:dyDescent="0.35">
      <c r="B21" s="2">
        <f t="shared" si="2"/>
        <v>2037</v>
      </c>
      <c r="C21" s="3">
        <f t="shared" si="3"/>
        <v>53.216686413475848</v>
      </c>
      <c r="D21" s="3">
        <f t="shared" si="0"/>
        <v>53.216686413475848</v>
      </c>
      <c r="E21" s="3">
        <f t="shared" si="4"/>
        <v>1.2227707205546106</v>
      </c>
      <c r="F21" s="3">
        <f t="shared" si="4"/>
        <v>235.39999999999998</v>
      </c>
      <c r="G21" s="3">
        <f>+'[17]Colector Ecuador I-II'!$AB$23</f>
        <v>32.732422607854474</v>
      </c>
      <c r="H21" s="3">
        <f t="shared" si="1"/>
        <v>20.484263805621374</v>
      </c>
      <c r="I21" s="13">
        <f>+G21/G6-1</f>
        <v>0.33591322801330392</v>
      </c>
      <c r="L21" s="58">
        <f t="shared" si="5"/>
        <v>2037</v>
      </c>
      <c r="M21" s="59">
        <f>+'[17]Colector Ecuador I-II'!$Q$17</f>
        <v>67.213528950608435</v>
      </c>
      <c r="N21" s="60">
        <f>+'[17]Colector Ecuador I-II'!$P$17</f>
        <v>0.12873788571352479</v>
      </c>
      <c r="O21" s="61"/>
      <c r="P21" s="60">
        <f>+'[17]Colector Ecuador I-II'!$Y$17</f>
        <v>2.9021358693179655</v>
      </c>
      <c r="Q21" s="60">
        <f t="shared" si="6"/>
        <v>2.574757714270496E-2</v>
      </c>
      <c r="R21" s="60">
        <f t="shared" si="7"/>
        <v>2.9278834464606707</v>
      </c>
      <c r="S21" s="60">
        <f>+'[17]Colector Ecuador I-II'!$AA$17</f>
        <v>29.804539161393805</v>
      </c>
      <c r="T21" s="70">
        <f t="shared" si="8"/>
        <v>32.732422607854474</v>
      </c>
      <c r="V21" s="46">
        <f t="shared" si="9"/>
        <v>32.732422607854474</v>
      </c>
      <c r="W21" s="46">
        <f t="shared" si="10"/>
        <v>0</v>
      </c>
    </row>
    <row r="22" spans="2:23" x14ac:dyDescent="0.3">
      <c r="L22" s="9"/>
      <c r="M22" s="9"/>
      <c r="N22" s="34"/>
      <c r="O22" s="44"/>
    </row>
    <row r="23" spans="2:23" x14ac:dyDescent="0.3">
      <c r="L23" s="9"/>
    </row>
    <row r="24" spans="2:23" ht="13.8" thickBot="1" x14ac:dyDescent="0.35">
      <c r="L24" s="9"/>
    </row>
    <row r="25" spans="2:23" x14ac:dyDescent="0.3">
      <c r="B25" s="5" t="s">
        <v>10</v>
      </c>
      <c r="E25" s="6" t="s">
        <v>7</v>
      </c>
      <c r="F25" s="7">
        <f>+SUM('[17]Colector Ecuador I-II'!$M$24:$M$35)</f>
        <v>470.65</v>
      </c>
      <c r="G25" s="8" t="s">
        <v>8</v>
      </c>
      <c r="I25" s="16" t="s">
        <v>65</v>
      </c>
      <c r="J25" s="17">
        <v>406</v>
      </c>
      <c r="K25" s="15" t="s">
        <v>66</v>
      </c>
      <c r="L25" s="71"/>
      <c r="M25" s="48" t="s">
        <v>98</v>
      </c>
      <c r="N25" s="49"/>
      <c r="O25" s="49"/>
      <c r="P25" s="49"/>
      <c r="Q25" s="49"/>
      <c r="R25" s="49"/>
      <c r="S25" s="49"/>
      <c r="T25" s="50"/>
    </row>
    <row r="26" spans="2:23" x14ac:dyDescent="0.3">
      <c r="L26" s="72"/>
      <c r="M26" s="42" t="s">
        <v>108</v>
      </c>
      <c r="P26" s="12" t="s">
        <v>109</v>
      </c>
      <c r="T26" s="52"/>
    </row>
    <row r="27" spans="2:23" x14ac:dyDescent="0.3">
      <c r="B27" s="96" t="s">
        <v>0</v>
      </c>
      <c r="C27" s="96" t="s">
        <v>20</v>
      </c>
      <c r="D27" s="96" t="s">
        <v>1</v>
      </c>
      <c r="E27" s="96"/>
      <c r="F27" s="96"/>
      <c r="G27" s="96" t="s">
        <v>21</v>
      </c>
      <c r="H27" s="96" t="s">
        <v>2</v>
      </c>
      <c r="L27" s="72"/>
      <c r="Q27" s="53">
        <v>0.2</v>
      </c>
      <c r="S27" s="43" t="s">
        <v>94</v>
      </c>
      <c r="T27" s="52"/>
    </row>
    <row r="28" spans="2:23" ht="13.5" customHeight="1" x14ac:dyDescent="0.3">
      <c r="B28" s="96"/>
      <c r="C28" s="96"/>
      <c r="D28" s="18" t="s">
        <v>3</v>
      </c>
      <c r="E28" s="18" t="s">
        <v>4</v>
      </c>
      <c r="F28" s="18" t="s">
        <v>5</v>
      </c>
      <c r="G28" s="96"/>
      <c r="H28" s="96"/>
      <c r="L28" s="54" t="s">
        <v>0</v>
      </c>
      <c r="M28" s="45" t="s">
        <v>90</v>
      </c>
      <c r="N28" s="45" t="s">
        <v>99</v>
      </c>
      <c r="O28" s="45" t="s">
        <v>91</v>
      </c>
      <c r="P28" s="45" t="s">
        <v>92</v>
      </c>
      <c r="Q28" s="45" t="s">
        <v>93</v>
      </c>
      <c r="R28" s="45" t="s">
        <v>100</v>
      </c>
      <c r="S28" s="45" t="s">
        <v>106</v>
      </c>
      <c r="T28" s="55" t="s">
        <v>101</v>
      </c>
      <c r="U28" s="45"/>
      <c r="V28" s="45" t="s">
        <v>92</v>
      </c>
      <c r="W28" s="45" t="s">
        <v>97</v>
      </c>
    </row>
    <row r="29" spans="2:23" x14ac:dyDescent="0.3">
      <c r="B29" s="2">
        <f>+'Colec Balmaceda'!B6</f>
        <v>2022</v>
      </c>
      <c r="C29" s="3">
        <f>+SUMPRODUCT('[17]Colector Ecuador I-II'!$AL$24:$AL$35,'[17]Colector Ecuador I-II'!$M$24:$M$35)/F25</f>
        <v>78.247584260540322</v>
      </c>
      <c r="D29" s="3">
        <f t="shared" ref="D29:D44" si="11">+C29</f>
        <v>78.247584260540322</v>
      </c>
      <c r="E29" s="3">
        <f>D29/(0.25*PI()*(F29/1000)^2)/1000</f>
        <v>0.92336829384741559</v>
      </c>
      <c r="F29" s="3">
        <f>+SUMPRODUCT('[17]Colector Ecuador I-II'!$F$24:$F$35,'[17]Colector Ecuador I-II'!$M$24:$M$35)/F25</f>
        <v>328.47555083395309</v>
      </c>
      <c r="G29" s="3">
        <f>+'[2]Colector Ecuador I-II'!$AB$35</f>
        <v>39.958617467321261</v>
      </c>
      <c r="H29" s="3">
        <f t="shared" ref="H29:H44" si="12">+D29-G29</f>
        <v>38.28896679321906</v>
      </c>
      <c r="L29" s="56">
        <f>+B29</f>
        <v>2022</v>
      </c>
      <c r="M29" s="9">
        <f>+'[2]Colector Ecuador I-II'!$V$35</f>
        <v>2765.4058566012436</v>
      </c>
      <c r="N29" s="34">
        <f>+'[2]Colector Ecuador I-II'!$U$35</f>
        <v>4.9494704596833561</v>
      </c>
      <c r="O29" s="44">
        <f>1+(14/(4+(SQRT(M29/1000))))</f>
        <v>3.4722093000102223</v>
      </c>
      <c r="P29" s="34">
        <f>+O29*N29</f>
        <v>17.185597360238418</v>
      </c>
      <c r="Q29" s="34">
        <f>+$Q$27*N29</f>
        <v>0.98989409193667122</v>
      </c>
      <c r="R29" s="34">
        <f>+Q29+P29</f>
        <v>18.175491452175088</v>
      </c>
      <c r="S29" s="34">
        <f>+S6</f>
        <v>21.78312601514617</v>
      </c>
      <c r="T29" s="57">
        <f>+S29+R29</f>
        <v>39.958617467321261</v>
      </c>
      <c r="V29" s="46">
        <f>+G29</f>
        <v>39.958617467321261</v>
      </c>
      <c r="W29" s="34">
        <f>+V29-T29</f>
        <v>0</v>
      </c>
    </row>
    <row r="30" spans="2:23" x14ac:dyDescent="0.3">
      <c r="B30" s="2">
        <f t="shared" ref="B30:B44" si="13">+B29+1</f>
        <v>2023</v>
      </c>
      <c r="C30" s="3">
        <f t="shared" ref="C30:C44" si="14">+C29</f>
        <v>78.247584260540322</v>
      </c>
      <c r="D30" s="3">
        <f t="shared" si="11"/>
        <v>78.247584260540322</v>
      </c>
      <c r="E30" s="3">
        <f t="shared" ref="E30:E44" si="15">+E29</f>
        <v>0.92336829384741559</v>
      </c>
      <c r="F30" s="3">
        <f t="shared" ref="F30:F44" si="16">+F29</f>
        <v>328.47555083395309</v>
      </c>
      <c r="G30" s="3">
        <f>+'[3]Colector Ecuador I-II'!$AB$35</f>
        <v>41.184925440205646</v>
      </c>
      <c r="H30" s="3">
        <f t="shared" si="12"/>
        <v>37.062658820334676</v>
      </c>
      <c r="L30" s="56">
        <f t="shared" ref="L30:L44" si="17">+B30</f>
        <v>2023</v>
      </c>
      <c r="M30" s="9">
        <f>+'[3]Colector Ecuador I-II'!$V$35</f>
        <v>2787.7982909002835</v>
      </c>
      <c r="N30" s="34">
        <f>+'[3]Colector Ecuador I-II'!$U$35</f>
        <v>5.1056404805598463</v>
      </c>
      <c r="O30" s="44">
        <f t="shared" ref="O30:O44" si="18">1+(14/(4+(SQRT(M30/1000))))</f>
        <v>3.4692794673286778</v>
      </c>
      <c r="P30" s="34">
        <f t="shared" ref="P30:P44" si="19">+O30*N30</f>
        <v>17.7128936867684</v>
      </c>
      <c r="Q30" s="34">
        <f t="shared" ref="Q30:Q44" si="20">+$Q$27*N30</f>
        <v>1.0211280961119693</v>
      </c>
      <c r="R30" s="34">
        <f t="shared" ref="R30:R44" si="21">+Q30+P30</f>
        <v>18.734021782880369</v>
      </c>
      <c r="S30" s="34">
        <f t="shared" ref="S30:S44" si="22">+S7</f>
        <v>22.450903657325274</v>
      </c>
      <c r="T30" s="57">
        <f t="shared" ref="T30:T44" si="23">+S30+R30</f>
        <v>41.184925440205646</v>
      </c>
      <c r="V30" s="46">
        <f t="shared" ref="V30:V44" si="24">+G30</f>
        <v>41.184925440205646</v>
      </c>
      <c r="W30" s="34">
        <f t="shared" ref="W30:W44" si="25">+V30-T30</f>
        <v>0</v>
      </c>
    </row>
    <row r="31" spans="2:23" x14ac:dyDescent="0.3">
      <c r="B31" s="2">
        <f t="shared" si="13"/>
        <v>2024</v>
      </c>
      <c r="C31" s="3">
        <f t="shared" si="14"/>
        <v>78.247584260540322</v>
      </c>
      <c r="D31" s="3">
        <f t="shared" si="11"/>
        <v>78.247584260540322</v>
      </c>
      <c r="E31" s="3">
        <f t="shared" si="15"/>
        <v>0.92336829384741559</v>
      </c>
      <c r="F31" s="3">
        <f t="shared" si="16"/>
        <v>328.47555083395309</v>
      </c>
      <c r="G31" s="3">
        <f>+'[4]Colector Ecuador I-II'!$AB$35</f>
        <v>42.102188966319652</v>
      </c>
      <c r="H31" s="3">
        <f t="shared" si="12"/>
        <v>36.14539529422067</v>
      </c>
      <c r="L31" s="56">
        <f t="shared" si="17"/>
        <v>2024</v>
      </c>
      <c r="M31" s="9">
        <f>+'[4]Colector Ecuador I-II'!$V$35</f>
        <v>2810.293537110706</v>
      </c>
      <c r="N31" s="34">
        <f>+'[4]Colector Ecuador I-II'!$U$35</f>
        <v>5.2237198529250541</v>
      </c>
      <c r="O31" s="44">
        <f t="shared" si="18"/>
        <v>3.4663549485870719</v>
      </c>
      <c r="P31" s="34">
        <f t="shared" si="19"/>
        <v>18.107267162219294</v>
      </c>
      <c r="Q31" s="34">
        <f t="shared" si="20"/>
        <v>1.0447439705850108</v>
      </c>
      <c r="R31" s="34">
        <f t="shared" si="21"/>
        <v>19.152011132804304</v>
      </c>
      <c r="S31" s="34">
        <f t="shared" si="22"/>
        <v>22.950177833515347</v>
      </c>
      <c r="T31" s="57">
        <f t="shared" si="23"/>
        <v>42.102188966319652</v>
      </c>
      <c r="V31" s="46">
        <f t="shared" si="24"/>
        <v>42.102188966319652</v>
      </c>
      <c r="W31" s="34">
        <f t="shared" si="25"/>
        <v>0</v>
      </c>
    </row>
    <row r="32" spans="2:23" x14ac:dyDescent="0.3">
      <c r="B32" s="2">
        <f t="shared" si="13"/>
        <v>2025</v>
      </c>
      <c r="C32" s="3">
        <f t="shared" si="14"/>
        <v>78.247584260540322</v>
      </c>
      <c r="D32" s="3">
        <f t="shared" si="11"/>
        <v>78.247584260540322</v>
      </c>
      <c r="E32" s="3">
        <f t="shared" si="15"/>
        <v>0.92336829384741559</v>
      </c>
      <c r="F32" s="3">
        <f t="shared" si="16"/>
        <v>328.47555083395309</v>
      </c>
      <c r="G32" s="3">
        <f>+'[5]Colector Ecuador I-II'!$AB$35</f>
        <v>43.022233656977988</v>
      </c>
      <c r="H32" s="3">
        <f t="shared" si="12"/>
        <v>35.225350603562333</v>
      </c>
      <c r="L32" s="56">
        <f t="shared" si="17"/>
        <v>2025</v>
      </c>
      <c r="M32" s="9">
        <f>+'[5]Colector Ecuador I-II'!$V$35</f>
        <v>2832.8710328502343</v>
      </c>
      <c r="N32" s="34">
        <f>+'[5]Colector Ecuador I-II'!$U$35</f>
        <v>5.3423295305780867</v>
      </c>
      <c r="O32" s="44">
        <f t="shared" si="18"/>
        <v>3.4634383978766987</v>
      </c>
      <c r="P32" s="34">
        <f t="shared" si="19"/>
        <v>18.502829230314745</v>
      </c>
      <c r="Q32" s="34">
        <f t="shared" si="20"/>
        <v>1.0684659061156174</v>
      </c>
      <c r="R32" s="34">
        <f t="shared" si="21"/>
        <v>19.571295136430361</v>
      </c>
      <c r="S32" s="34">
        <f t="shared" si="22"/>
        <v>23.450938520547624</v>
      </c>
      <c r="T32" s="57">
        <f t="shared" si="23"/>
        <v>43.022233656977988</v>
      </c>
      <c r="V32" s="46">
        <f t="shared" si="24"/>
        <v>43.022233656977988</v>
      </c>
      <c r="W32" s="34">
        <f t="shared" si="25"/>
        <v>0</v>
      </c>
    </row>
    <row r="33" spans="2:23" x14ac:dyDescent="0.3">
      <c r="B33" s="2">
        <f t="shared" si="13"/>
        <v>2026</v>
      </c>
      <c r="C33" s="3">
        <f t="shared" si="14"/>
        <v>78.247584260540322</v>
      </c>
      <c r="D33" s="3">
        <f t="shared" si="11"/>
        <v>78.247584260540322</v>
      </c>
      <c r="E33" s="3">
        <f t="shared" si="15"/>
        <v>0.92336829384741559</v>
      </c>
      <c r="F33" s="3">
        <f t="shared" si="16"/>
        <v>328.47555083395309</v>
      </c>
      <c r="G33" s="3">
        <f>+'[6]Colector Ecuador I-II'!$AB$35</f>
        <v>43.951898356763088</v>
      </c>
      <c r="H33" s="3">
        <f t="shared" si="12"/>
        <v>34.295685903777233</v>
      </c>
      <c r="L33" s="56">
        <f t="shared" si="17"/>
        <v>2026</v>
      </c>
      <c r="M33" s="9">
        <f>+'[6]Colector Ecuador I-II'!$V$35</f>
        <v>2855.571902883421</v>
      </c>
      <c r="N33" s="34">
        <f>+'[6]Colector Ecuador I-II'!$U$35</f>
        <v>5.4623282263164228</v>
      </c>
      <c r="O33" s="44">
        <f t="shared" si="18"/>
        <v>3.4605245086869374</v>
      </c>
      <c r="P33" s="34">
        <f t="shared" si="19"/>
        <v>18.902520701660428</v>
      </c>
      <c r="Q33" s="34">
        <f t="shared" si="20"/>
        <v>1.0924656452632846</v>
      </c>
      <c r="R33" s="34">
        <f t="shared" si="21"/>
        <v>19.994986346923714</v>
      </c>
      <c r="S33" s="34">
        <f t="shared" si="22"/>
        <v>23.956912009839375</v>
      </c>
      <c r="T33" s="57">
        <f t="shared" si="23"/>
        <v>43.951898356763088</v>
      </c>
      <c r="V33" s="46">
        <f t="shared" si="24"/>
        <v>43.951898356763088</v>
      </c>
      <c r="W33" s="34">
        <f t="shared" si="25"/>
        <v>0</v>
      </c>
    </row>
    <row r="34" spans="2:23" x14ac:dyDescent="0.3">
      <c r="B34" s="2">
        <f t="shared" si="13"/>
        <v>2027</v>
      </c>
      <c r="C34" s="3">
        <f t="shared" si="14"/>
        <v>78.247584260540322</v>
      </c>
      <c r="D34" s="3">
        <f t="shared" si="11"/>
        <v>78.247584260540322</v>
      </c>
      <c r="E34" s="3">
        <f t="shared" si="15"/>
        <v>0.92336829384741559</v>
      </c>
      <c r="F34" s="3">
        <f t="shared" si="16"/>
        <v>328.47555083395309</v>
      </c>
      <c r="G34" s="3">
        <f>+'[7]Colector Ecuador I-II'!$AB$35</f>
        <v>44.889457785896788</v>
      </c>
      <c r="H34" s="3">
        <f t="shared" si="12"/>
        <v>33.358126474643534</v>
      </c>
      <c r="L34" s="56">
        <f t="shared" si="17"/>
        <v>2027</v>
      </c>
      <c r="M34" s="9">
        <f>+'[7]Colector Ecuador I-II'!$V$35</f>
        <v>2878.3755848279902</v>
      </c>
      <c r="N34" s="34">
        <f>+'[7]Colector Ecuador I-II'!$U$35</f>
        <v>5.5835002359428838</v>
      </c>
      <c r="O34" s="44">
        <f t="shared" si="18"/>
        <v>3.4576159511665958</v>
      </c>
      <c r="P34" s="34">
        <f t="shared" si="19"/>
        <v>19.305599479138568</v>
      </c>
      <c r="Q34" s="34">
        <f t="shared" si="20"/>
        <v>1.1167000471885768</v>
      </c>
      <c r="R34" s="34">
        <f t="shared" si="21"/>
        <v>20.422299526327144</v>
      </c>
      <c r="S34" s="34">
        <f t="shared" si="22"/>
        <v>24.467158259569644</v>
      </c>
      <c r="T34" s="57">
        <f t="shared" si="23"/>
        <v>44.889457785896788</v>
      </c>
      <c r="V34" s="46">
        <f t="shared" si="24"/>
        <v>44.889457785896788</v>
      </c>
      <c r="W34" s="34">
        <f t="shared" si="25"/>
        <v>0</v>
      </c>
    </row>
    <row r="35" spans="2:23" x14ac:dyDescent="0.3">
      <c r="B35" s="2">
        <f t="shared" si="13"/>
        <v>2028</v>
      </c>
      <c r="C35" s="3">
        <f t="shared" si="14"/>
        <v>78.247584260540322</v>
      </c>
      <c r="D35" s="3">
        <f t="shared" si="11"/>
        <v>78.247584260540322</v>
      </c>
      <c r="E35" s="3">
        <f t="shared" si="15"/>
        <v>0.92336829384741559</v>
      </c>
      <c r="F35" s="3">
        <f t="shared" si="16"/>
        <v>328.47555083395309</v>
      </c>
      <c r="G35" s="3">
        <f>+'[8]Colector Ecuador I-II'!$AB$35</f>
        <v>45.838472637979294</v>
      </c>
      <c r="H35" s="3">
        <f t="shared" si="12"/>
        <v>32.409111622561028</v>
      </c>
      <c r="L35" s="56">
        <f t="shared" si="17"/>
        <v>2028</v>
      </c>
      <c r="M35" s="9">
        <f>+'[8]Colector Ecuador I-II'!$V$35</f>
        <v>2901.3026410662178</v>
      </c>
      <c r="N35" s="34">
        <f>+'[8]Colector Ecuador I-II'!$U$35</f>
        <v>5.7062954065746991</v>
      </c>
      <c r="O35" s="44">
        <f t="shared" si="18"/>
        <v>3.454710132433692</v>
      </c>
      <c r="P35" s="34">
        <f t="shared" si="19"/>
        <v>19.713596559753448</v>
      </c>
      <c r="Q35" s="34">
        <f t="shared" si="20"/>
        <v>1.1412590813149399</v>
      </c>
      <c r="R35" s="34">
        <f t="shared" si="21"/>
        <v>20.854855641068387</v>
      </c>
      <c r="S35" s="34">
        <f t="shared" si="22"/>
        <v>24.983616996910904</v>
      </c>
      <c r="T35" s="57">
        <f t="shared" si="23"/>
        <v>45.838472637979294</v>
      </c>
      <c r="V35" s="46">
        <f t="shared" si="24"/>
        <v>45.838472637979294</v>
      </c>
      <c r="W35" s="34">
        <f t="shared" si="25"/>
        <v>0</v>
      </c>
    </row>
    <row r="36" spans="2:23" x14ac:dyDescent="0.3">
      <c r="B36" s="2">
        <f t="shared" si="13"/>
        <v>2029</v>
      </c>
      <c r="C36" s="3">
        <f t="shared" si="14"/>
        <v>78.247584260540322</v>
      </c>
      <c r="D36" s="3">
        <f t="shared" si="11"/>
        <v>78.247584260540322</v>
      </c>
      <c r="E36" s="3">
        <f t="shared" si="15"/>
        <v>0.92336829384741559</v>
      </c>
      <c r="F36" s="3">
        <f t="shared" si="16"/>
        <v>328.47555083395309</v>
      </c>
      <c r="G36" s="3">
        <f>+'[9]Colector Ecuador I-II'!$AB$35</f>
        <v>46.789927009992702</v>
      </c>
      <c r="H36" s="3">
        <f t="shared" si="12"/>
        <v>31.457657250547619</v>
      </c>
      <c r="L36" s="56">
        <f t="shared" si="17"/>
        <v>2029</v>
      </c>
      <c r="M36" s="9">
        <f>+'[9]Colector Ecuador I-II'!$V$35</f>
        <v>2924.3119468335512</v>
      </c>
      <c r="N36" s="34">
        <f>+'[9]Colector Ecuador I-II'!$U$35</f>
        <v>5.8295854407419068</v>
      </c>
      <c r="O36" s="44">
        <f t="shared" si="18"/>
        <v>3.4518122692091038</v>
      </c>
      <c r="P36" s="34">
        <f t="shared" si="19"/>
        <v>20.122634548755673</v>
      </c>
      <c r="Q36" s="34">
        <f t="shared" si="20"/>
        <v>1.1659170881483814</v>
      </c>
      <c r="R36" s="34">
        <f t="shared" si="21"/>
        <v>21.288551636904053</v>
      </c>
      <c r="S36" s="34">
        <f t="shared" si="22"/>
        <v>25.501375373088649</v>
      </c>
      <c r="T36" s="57">
        <f t="shared" si="23"/>
        <v>46.789927009992702</v>
      </c>
      <c r="V36" s="46">
        <f t="shared" si="24"/>
        <v>46.789927009992702</v>
      </c>
      <c r="W36" s="34">
        <f t="shared" si="25"/>
        <v>0</v>
      </c>
    </row>
    <row r="37" spans="2:23" x14ac:dyDescent="0.3">
      <c r="B37" s="2">
        <f t="shared" si="13"/>
        <v>2030</v>
      </c>
      <c r="C37" s="3">
        <f t="shared" si="14"/>
        <v>78.247584260540322</v>
      </c>
      <c r="D37" s="3">
        <f t="shared" si="11"/>
        <v>78.247584260540322</v>
      </c>
      <c r="E37" s="3">
        <f t="shared" si="15"/>
        <v>0.92336829384741559</v>
      </c>
      <c r="F37" s="3">
        <f t="shared" si="16"/>
        <v>328.47555083395309</v>
      </c>
      <c r="G37" s="3">
        <f>+'[10]Colector Ecuador I-II'!$AB$35</f>
        <v>47.751034193551099</v>
      </c>
      <c r="H37" s="3">
        <f t="shared" si="12"/>
        <v>30.496550066989222</v>
      </c>
      <c r="L37" s="56">
        <f t="shared" si="17"/>
        <v>2030</v>
      </c>
      <c r="M37" s="9">
        <f>+'[10]Colector Ecuador I-II'!$V$35</f>
        <v>2947.444626894543</v>
      </c>
      <c r="N37" s="34">
        <f>+'[10]Colector Ecuador I-II'!$U$35</f>
        <v>5.954278999312038</v>
      </c>
      <c r="O37" s="44">
        <f t="shared" si="18"/>
        <v>3.4489171859897341</v>
      </c>
      <c r="P37" s="34">
        <f t="shared" si="19"/>
        <v>20.535815170905042</v>
      </c>
      <c r="Q37" s="34">
        <f t="shared" si="20"/>
        <v>1.1908557998624076</v>
      </c>
      <c r="R37" s="34">
        <f t="shared" si="21"/>
        <v>21.726670970767451</v>
      </c>
      <c r="S37" s="34">
        <f t="shared" si="22"/>
        <v>26.024363222783649</v>
      </c>
      <c r="T37" s="57">
        <f t="shared" si="23"/>
        <v>47.751034193551099</v>
      </c>
      <c r="V37" s="46">
        <f t="shared" si="24"/>
        <v>47.751034193551099</v>
      </c>
      <c r="W37" s="34">
        <f t="shared" si="25"/>
        <v>0</v>
      </c>
    </row>
    <row r="38" spans="2:23" x14ac:dyDescent="0.3">
      <c r="B38" s="2">
        <f t="shared" si="13"/>
        <v>2031</v>
      </c>
      <c r="C38" s="3">
        <f t="shared" si="14"/>
        <v>78.247584260540322</v>
      </c>
      <c r="D38" s="3">
        <f t="shared" si="11"/>
        <v>78.247584260540322</v>
      </c>
      <c r="E38" s="3">
        <f t="shared" si="15"/>
        <v>0.92336829384741559</v>
      </c>
      <c r="F38" s="3">
        <f t="shared" si="16"/>
        <v>328.47555083395309</v>
      </c>
      <c r="G38" s="3">
        <f>+'[11]Colector Ecuador I-II'!$AB$35</f>
        <v>48.719924895023155</v>
      </c>
      <c r="H38" s="3">
        <f t="shared" si="12"/>
        <v>29.527659365517167</v>
      </c>
      <c r="L38" s="56">
        <f t="shared" si="17"/>
        <v>2031</v>
      </c>
      <c r="M38" s="9">
        <f>+'[11]Colector Ecuador I-II'!$V$35</f>
        <v>2970.7006812491936</v>
      </c>
      <c r="N38" s="34">
        <f>+'[11]Colector Ecuador I-II'!$U$35</f>
        <v>6.0801458717702914</v>
      </c>
      <c r="O38" s="44">
        <f t="shared" si="18"/>
        <v>3.4460249348196106</v>
      </c>
      <c r="P38" s="34">
        <f t="shared" si="19"/>
        <v>20.952334281460942</v>
      </c>
      <c r="Q38" s="34">
        <f t="shared" si="20"/>
        <v>1.2160291743540583</v>
      </c>
      <c r="R38" s="34">
        <f t="shared" si="21"/>
        <v>22.168363455815001</v>
      </c>
      <c r="S38" s="34">
        <f t="shared" si="22"/>
        <v>26.55156143920815</v>
      </c>
      <c r="T38" s="57">
        <f t="shared" si="23"/>
        <v>48.719924895023155</v>
      </c>
      <c r="V38" s="46">
        <f t="shared" si="24"/>
        <v>48.719924895023155</v>
      </c>
      <c r="W38" s="34">
        <f t="shared" si="25"/>
        <v>0</v>
      </c>
    </row>
    <row r="39" spans="2:23" x14ac:dyDescent="0.3">
      <c r="B39" s="2">
        <f t="shared" si="13"/>
        <v>2032</v>
      </c>
      <c r="C39" s="3">
        <f t="shared" si="14"/>
        <v>78.247584260540322</v>
      </c>
      <c r="D39" s="3">
        <f t="shared" si="11"/>
        <v>78.247584260540322</v>
      </c>
      <c r="E39" s="3">
        <f t="shared" si="15"/>
        <v>0.92336829384741559</v>
      </c>
      <c r="F39" s="3">
        <f t="shared" si="16"/>
        <v>328.47555083395309</v>
      </c>
      <c r="G39" s="3">
        <f>+'[12]Colector Ecuador I-II'!$AB$35</f>
        <v>49.700348413026049</v>
      </c>
      <c r="H39" s="3">
        <f t="shared" si="12"/>
        <v>28.547235847514273</v>
      </c>
      <c r="L39" s="56">
        <f t="shared" si="17"/>
        <v>2032</v>
      </c>
      <c r="M39" s="9">
        <f>+'[12]Colector Ecuador I-II'!$V$35</f>
        <v>2994.080109897503</v>
      </c>
      <c r="N39" s="34">
        <f>+'[12]Colector Ecuador I-II'!$U$35</f>
        <v>6.2076568406687143</v>
      </c>
      <c r="O39" s="44">
        <f t="shared" si="18"/>
        <v>3.4431355665693961</v>
      </c>
      <c r="P39" s="34">
        <f t="shared" si="19"/>
        <v>21.37380405316426</v>
      </c>
      <c r="Q39" s="34">
        <f t="shared" si="20"/>
        <v>1.241531368133743</v>
      </c>
      <c r="R39" s="34">
        <f t="shared" si="21"/>
        <v>22.615335421298003</v>
      </c>
      <c r="S39" s="34">
        <f t="shared" si="22"/>
        <v>27.085012991728046</v>
      </c>
      <c r="T39" s="57">
        <f t="shared" si="23"/>
        <v>49.700348413026049</v>
      </c>
      <c r="V39" s="46">
        <f t="shared" si="24"/>
        <v>49.700348413026049</v>
      </c>
      <c r="W39" s="34">
        <f t="shared" si="25"/>
        <v>0</v>
      </c>
    </row>
    <row r="40" spans="2:23" x14ac:dyDescent="0.3">
      <c r="B40" s="2">
        <f t="shared" si="13"/>
        <v>2033</v>
      </c>
      <c r="C40" s="3">
        <f t="shared" si="14"/>
        <v>78.247584260540322</v>
      </c>
      <c r="D40" s="3">
        <f t="shared" si="11"/>
        <v>78.247584260540322</v>
      </c>
      <c r="E40" s="3">
        <f t="shared" si="15"/>
        <v>0.92336829384741559</v>
      </c>
      <c r="F40" s="3">
        <f t="shared" si="16"/>
        <v>328.47555083395309</v>
      </c>
      <c r="G40" s="3">
        <f>+'[13]Colector Ecuador I-II'!$AB$35</f>
        <v>50.682761811902516</v>
      </c>
      <c r="H40" s="3">
        <f t="shared" si="12"/>
        <v>27.564822448637806</v>
      </c>
      <c r="L40" s="56">
        <f t="shared" si="17"/>
        <v>2033</v>
      </c>
      <c r="M40" s="9">
        <f>+'[13]Colector Ecuador I-II'!$V$35</f>
        <v>3017.6034752217474</v>
      </c>
      <c r="N40" s="34">
        <f>+'[13]Colector Ecuador I-II'!$U$35</f>
        <v>6.3356272313500961</v>
      </c>
      <c r="O40" s="44">
        <f t="shared" si="18"/>
        <v>3.4402466135535246</v>
      </c>
      <c r="P40" s="34">
        <f t="shared" si="19"/>
        <v>21.79612012738966</v>
      </c>
      <c r="Q40" s="34">
        <f t="shared" si="20"/>
        <v>1.2671254462700192</v>
      </c>
      <c r="R40" s="34">
        <f t="shared" si="21"/>
        <v>23.063245573659678</v>
      </c>
      <c r="S40" s="34">
        <f t="shared" si="22"/>
        <v>27.619516238242838</v>
      </c>
      <c r="T40" s="57">
        <f t="shared" si="23"/>
        <v>50.682761811902516</v>
      </c>
      <c r="V40" s="46">
        <f t="shared" si="24"/>
        <v>50.682761811902516</v>
      </c>
      <c r="W40" s="34">
        <f t="shared" si="25"/>
        <v>0</v>
      </c>
    </row>
    <row r="41" spans="2:23" x14ac:dyDescent="0.3">
      <c r="B41" s="2">
        <f t="shared" si="13"/>
        <v>2034</v>
      </c>
      <c r="C41" s="3">
        <f t="shared" si="14"/>
        <v>78.247584260540322</v>
      </c>
      <c r="D41" s="3">
        <f t="shared" si="11"/>
        <v>78.247584260540322</v>
      </c>
      <c r="E41" s="3">
        <f t="shared" si="15"/>
        <v>0.92336829384741559</v>
      </c>
      <c r="F41" s="3">
        <f t="shared" si="16"/>
        <v>328.47555083395309</v>
      </c>
      <c r="G41" s="3">
        <f>+'[14]Colector Ecuador I-II'!$AB$35</f>
        <v>51.674931949347538</v>
      </c>
      <c r="H41" s="3">
        <f t="shared" si="12"/>
        <v>26.572652311192783</v>
      </c>
      <c r="L41" s="56">
        <f t="shared" si="17"/>
        <v>2034</v>
      </c>
      <c r="M41" s="9">
        <f>+'[14]Colector Ecuador I-II'!$V$35</f>
        <v>3041.2090900750973</v>
      </c>
      <c r="N41" s="34">
        <f>+'[14]Colector Ecuador I-II'!$U$35</f>
        <v>6.4650156527520188</v>
      </c>
      <c r="O41" s="44">
        <f t="shared" si="18"/>
        <v>3.4373656765716536</v>
      </c>
      <c r="P41" s="34">
        <f t="shared" si="19"/>
        <v>22.222622903268274</v>
      </c>
      <c r="Q41" s="34">
        <f t="shared" si="20"/>
        <v>1.2930031305504039</v>
      </c>
      <c r="R41" s="34">
        <f t="shared" si="21"/>
        <v>23.515626033818677</v>
      </c>
      <c r="S41" s="34">
        <f t="shared" si="22"/>
        <v>28.159305915528861</v>
      </c>
      <c r="T41" s="57">
        <f t="shared" si="23"/>
        <v>51.674931949347538</v>
      </c>
      <c r="V41" s="46">
        <f t="shared" si="24"/>
        <v>51.674931949347538</v>
      </c>
      <c r="W41" s="34">
        <f t="shared" si="25"/>
        <v>0</v>
      </c>
    </row>
    <row r="42" spans="2:23" x14ac:dyDescent="0.3">
      <c r="B42" s="2">
        <f t="shared" si="13"/>
        <v>2035</v>
      </c>
      <c r="C42" s="3">
        <f t="shared" si="14"/>
        <v>78.247584260540322</v>
      </c>
      <c r="D42" s="3">
        <f t="shared" si="11"/>
        <v>78.247584260540322</v>
      </c>
      <c r="E42" s="3">
        <f t="shared" si="15"/>
        <v>0.92336829384741559</v>
      </c>
      <c r="F42" s="3">
        <f t="shared" si="16"/>
        <v>328.47555083395309</v>
      </c>
      <c r="G42" s="3">
        <f>+'[15]Colector Ecuador I-II'!$AB$35</f>
        <v>52.674731957904584</v>
      </c>
      <c r="H42" s="3">
        <f t="shared" si="12"/>
        <v>25.572852302635738</v>
      </c>
      <c r="L42" s="56">
        <f t="shared" si="17"/>
        <v>2035</v>
      </c>
      <c r="M42" s="9">
        <f>+'[15]Colector Ecuador I-II'!$V$35</f>
        <v>3064.9792039866593</v>
      </c>
      <c r="N42" s="34">
        <f>+'[15]Colector Ecuador I-II'!$U$35</f>
        <v>6.5955773880420683</v>
      </c>
      <c r="O42" s="44">
        <f t="shared" si="18"/>
        <v>3.4344827648017175</v>
      </c>
      <c r="P42" s="34">
        <f t="shared" si="19"/>
        <v>22.652396863146414</v>
      </c>
      <c r="Q42" s="34">
        <f t="shared" si="20"/>
        <v>1.3191154776084137</v>
      </c>
      <c r="R42" s="34">
        <f t="shared" si="21"/>
        <v>23.971512340754828</v>
      </c>
      <c r="S42" s="34">
        <f t="shared" si="22"/>
        <v>28.703219617149756</v>
      </c>
      <c r="T42" s="57">
        <f t="shared" si="23"/>
        <v>52.674731957904584</v>
      </c>
      <c r="V42" s="46">
        <f t="shared" si="24"/>
        <v>52.674731957904584</v>
      </c>
      <c r="W42" s="34">
        <f t="shared" si="25"/>
        <v>0</v>
      </c>
    </row>
    <row r="43" spans="2:23" x14ac:dyDescent="0.3">
      <c r="B43" s="2">
        <f t="shared" si="13"/>
        <v>2036</v>
      </c>
      <c r="C43" s="3">
        <f t="shared" si="14"/>
        <v>78.247584260540322</v>
      </c>
      <c r="D43" s="3">
        <f t="shared" si="11"/>
        <v>78.247584260540322</v>
      </c>
      <c r="E43" s="3">
        <f t="shared" si="15"/>
        <v>0.92336829384741559</v>
      </c>
      <c r="F43" s="3">
        <f t="shared" si="16"/>
        <v>328.47555083395309</v>
      </c>
      <c r="G43" s="3">
        <f>+'[16]Colector Ecuador I-II'!$AB$35</f>
        <v>53.686177797973166</v>
      </c>
      <c r="H43" s="3">
        <f t="shared" si="12"/>
        <v>24.561406462567156</v>
      </c>
      <c r="L43" s="56">
        <f t="shared" si="17"/>
        <v>2036</v>
      </c>
      <c r="M43" s="9">
        <f>+'[16]Colector Ecuador I-II'!$V$35</f>
        <v>3088.852129809603</v>
      </c>
      <c r="N43" s="34">
        <f>+'[16]Colector Ecuador I-II'!$U$35</f>
        <v>6.7278041552071022</v>
      </c>
      <c r="O43" s="44">
        <f t="shared" si="18"/>
        <v>3.4316054296829792</v>
      </c>
      <c r="P43" s="34">
        <f t="shared" si="19"/>
        <v>23.087169268852399</v>
      </c>
      <c r="Q43" s="34">
        <f t="shared" si="20"/>
        <v>1.3455608310414204</v>
      </c>
      <c r="R43" s="34">
        <f t="shared" si="21"/>
        <v>24.432730099893821</v>
      </c>
      <c r="S43" s="34">
        <f t="shared" si="22"/>
        <v>29.253447698079345</v>
      </c>
      <c r="T43" s="57">
        <f t="shared" si="23"/>
        <v>53.686177797973166</v>
      </c>
      <c r="V43" s="46">
        <f t="shared" si="24"/>
        <v>53.686177797973166</v>
      </c>
      <c r="W43" s="34">
        <f t="shared" si="25"/>
        <v>0</v>
      </c>
    </row>
    <row r="44" spans="2:23" ht="13.8" thickBot="1" x14ac:dyDescent="0.35">
      <c r="B44" s="2">
        <f t="shared" si="13"/>
        <v>2037</v>
      </c>
      <c r="C44" s="3">
        <f t="shared" si="14"/>
        <v>78.247584260540322</v>
      </c>
      <c r="D44" s="3">
        <f t="shared" si="11"/>
        <v>78.247584260540322</v>
      </c>
      <c r="E44" s="3">
        <f t="shared" si="15"/>
        <v>0.92336829384741559</v>
      </c>
      <c r="F44" s="3">
        <f t="shared" si="16"/>
        <v>328.47555083395309</v>
      </c>
      <c r="G44" s="3">
        <f>+'[17]Colector Ecuador I-II'!$AB$35</f>
        <v>54.699269169726819</v>
      </c>
      <c r="H44" s="3">
        <f t="shared" si="12"/>
        <v>23.548315090813503</v>
      </c>
      <c r="L44" s="58">
        <f t="shared" si="17"/>
        <v>2037</v>
      </c>
      <c r="M44" s="59">
        <f>+'[17]Colector Ecuador I-II'!$V$35</f>
        <v>3112.8689923084817</v>
      </c>
      <c r="N44" s="60">
        <f>+'[17]Colector Ecuador I-II'!$U$35</f>
        <v>6.8604549024026564</v>
      </c>
      <c r="O44" s="61">
        <f t="shared" si="18"/>
        <v>3.428728759606658</v>
      </c>
      <c r="P44" s="60">
        <f t="shared" si="19"/>
        <v>23.522639027852478</v>
      </c>
      <c r="Q44" s="60">
        <f t="shared" si="20"/>
        <v>1.3720909804805315</v>
      </c>
      <c r="R44" s="60">
        <f t="shared" si="21"/>
        <v>24.89473000833301</v>
      </c>
      <c r="S44" s="60">
        <f t="shared" si="22"/>
        <v>29.804539161393805</v>
      </c>
      <c r="T44" s="62">
        <f t="shared" si="23"/>
        <v>54.699269169726819</v>
      </c>
      <c r="V44" s="46">
        <f t="shared" si="24"/>
        <v>54.699269169726819</v>
      </c>
      <c r="W44" s="34">
        <f t="shared" si="25"/>
        <v>0</v>
      </c>
    </row>
    <row r="45" spans="2:23" x14ac:dyDescent="0.3">
      <c r="L45" s="9"/>
      <c r="M45" s="9"/>
      <c r="N45" s="34"/>
      <c r="O45" s="44"/>
      <c r="P45" s="34"/>
      <c r="Q45" s="34"/>
      <c r="R45" s="34"/>
      <c r="S45" s="34"/>
      <c r="T45" s="34"/>
      <c r="V45" s="46"/>
      <c r="W45" s="34"/>
    </row>
  </sheetData>
  <mergeCells count="10"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1:Y23"/>
  <sheetViews>
    <sheetView showGridLines="0" zoomScaleNormal="100" workbookViewId="0"/>
  </sheetViews>
  <sheetFormatPr baseColWidth="10" defaultColWidth="11.44140625" defaultRowHeight="13.2" x14ac:dyDescent="0.3"/>
  <cols>
    <col min="1" max="1" width="5.88671875" style="12" customWidth="1"/>
    <col min="2" max="22" width="11.44140625" style="12"/>
    <col min="23" max="23" width="3.77734375" style="12" customWidth="1"/>
    <col min="24" max="16384" width="11.44140625" style="12"/>
  </cols>
  <sheetData>
    <row r="1" spans="1:25" ht="13.8" thickBot="1" x14ac:dyDescent="0.35"/>
    <row r="2" spans="1:25" x14ac:dyDescent="0.3">
      <c r="B2" s="5" t="s">
        <v>23</v>
      </c>
      <c r="E2" s="6" t="s">
        <v>7</v>
      </c>
      <c r="F2" s="7">
        <f>+'[17]Colector Guacamayo'!$N$30</f>
        <v>501.15</v>
      </c>
      <c r="G2" s="8" t="s">
        <v>8</v>
      </c>
      <c r="N2" s="47"/>
      <c r="O2" s="48" t="s">
        <v>98</v>
      </c>
      <c r="P2" s="49"/>
      <c r="Q2" s="49"/>
      <c r="R2" s="49"/>
      <c r="S2" s="49"/>
      <c r="T2" s="49"/>
      <c r="U2" s="49"/>
      <c r="V2" s="49"/>
      <c r="W2" s="50"/>
    </row>
    <row r="3" spans="1:25" x14ac:dyDescent="0.3">
      <c r="N3" s="51"/>
      <c r="O3" s="42" t="s">
        <v>95</v>
      </c>
      <c r="Q3" s="12" t="s">
        <v>102</v>
      </c>
      <c r="W3" s="52"/>
    </row>
    <row r="4" spans="1:25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N4" s="51"/>
      <c r="S4" s="53">
        <v>0.2</v>
      </c>
      <c r="U4" s="43" t="s">
        <v>94</v>
      </c>
      <c r="W4" s="52"/>
    </row>
    <row r="5" spans="1:25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"/>
      <c r="N5" s="54" t="s">
        <v>0</v>
      </c>
      <c r="O5" s="45" t="s">
        <v>90</v>
      </c>
      <c r="P5" s="45" t="s">
        <v>99</v>
      </c>
      <c r="Q5" s="45" t="s">
        <v>91</v>
      </c>
      <c r="R5" s="45" t="s">
        <v>92</v>
      </c>
      <c r="S5" s="45" t="s">
        <v>93</v>
      </c>
      <c r="T5" s="45" t="s">
        <v>100</v>
      </c>
      <c r="U5" s="45" t="s">
        <v>96</v>
      </c>
      <c r="V5" s="45" t="s">
        <v>101</v>
      </c>
      <c r="W5" s="55"/>
      <c r="X5" s="45" t="s">
        <v>92</v>
      </c>
      <c r="Y5" s="45" t="s">
        <v>97</v>
      </c>
    </row>
    <row r="6" spans="1:25" x14ac:dyDescent="0.3">
      <c r="A6" s="12" t="s">
        <v>6</v>
      </c>
      <c r="B6" s="2">
        <f>+'Colec Guacamayo'!B6</f>
        <v>2022</v>
      </c>
      <c r="C6" s="3">
        <f>+SUMPRODUCT('[17]Colector Guacamayo'!$AL$21:$AL$30,'[17]Colector Guacamayo'!$M$21:$M$30)/'[17]Colector Guacamayo'!$N$30</f>
        <v>92.532866432841516</v>
      </c>
      <c r="D6" s="3">
        <f t="shared" ref="D6:D21" si="0">+C6</f>
        <v>92.532866432841516</v>
      </c>
      <c r="E6" s="3">
        <f>D6/(0.25*PI()*(F6/1000)^2)/1000</f>
        <v>1.5647215860476851</v>
      </c>
      <c r="F6" s="3">
        <f>+SUMPRODUCT('[17]Colector Guacamayo'!$F$21:$F$30,'[17]Colector Guacamayo'!$M$21:$M$30)/'[17]Colector Guacamayo'!$N$30</f>
        <v>274.4002673850145</v>
      </c>
      <c r="G6" s="3">
        <f>+'[2]Colector Guacamayo'!$AB$30</f>
        <v>58.797588635568488</v>
      </c>
      <c r="H6" s="3">
        <f t="shared" ref="H6:H21" si="1">+D6-G6</f>
        <v>33.735277797273028</v>
      </c>
      <c r="J6" s="12">
        <v>0</v>
      </c>
      <c r="L6" s="9"/>
      <c r="N6" s="56">
        <f>+B6</f>
        <v>2022</v>
      </c>
      <c r="O6" s="9">
        <f>+'[2]Colector Guacamayo'!$V$30</f>
        <v>5554.9373913407744</v>
      </c>
      <c r="P6" s="34">
        <f>+'[2]Colector Guacamayo'!$U$30</f>
        <v>8.3504501099630772</v>
      </c>
      <c r="Q6" s="44">
        <f>1+(14/(4+(SQRT(O6/1000))))</f>
        <v>3.2023342809532847</v>
      </c>
      <c r="R6" s="34">
        <f>+Q6*P6</f>
        <v>26.740932648524886</v>
      </c>
      <c r="S6" s="34">
        <f>+P6*$S$4</f>
        <v>1.6700900219926156</v>
      </c>
      <c r="T6" s="34">
        <f>+S6+R6</f>
        <v>28.4110226705175</v>
      </c>
      <c r="U6" s="34">
        <f>+'[2]Colector Guacamayo'!$AA$30</f>
        <v>30.386565965050991</v>
      </c>
      <c r="V6" s="46">
        <f>+U6+T6</f>
        <v>58.797588635568488</v>
      </c>
      <c r="W6" s="52"/>
      <c r="X6" s="46">
        <f>+G6</f>
        <v>58.797588635568488</v>
      </c>
      <c r="Y6" s="46">
        <f>+V6-X6</f>
        <v>0</v>
      </c>
    </row>
    <row r="7" spans="1:25" x14ac:dyDescent="0.3">
      <c r="B7" s="2">
        <f t="shared" ref="B7:B21" si="2">+B6+1</f>
        <v>2023</v>
      </c>
      <c r="C7" s="3">
        <f t="shared" ref="C7:C21" si="3">+C6</f>
        <v>92.532866432841516</v>
      </c>
      <c r="D7" s="3">
        <f t="shared" si="0"/>
        <v>92.532866432841516</v>
      </c>
      <c r="E7" s="3">
        <f t="shared" ref="E7:F21" si="4">+E6</f>
        <v>1.5647215860476851</v>
      </c>
      <c r="F7" s="3">
        <f t="shared" si="4"/>
        <v>274.4002673850145</v>
      </c>
      <c r="G7" s="3">
        <f>+'[3]Colector Guacamayo'!$AB$30</f>
        <v>60.6004549453571</v>
      </c>
      <c r="H7" s="3">
        <f t="shared" si="1"/>
        <v>31.932411487484416</v>
      </c>
      <c r="J7" s="12">
        <v>1</v>
      </c>
      <c r="L7" s="9"/>
      <c r="N7" s="56">
        <f t="shared" ref="N7:N21" si="5">+B7</f>
        <v>2023</v>
      </c>
      <c r="O7" s="9">
        <f>+'[3]Colector Guacamayo'!$V$30</f>
        <v>5599.9176137822496</v>
      </c>
      <c r="P7" s="34">
        <f>+'[3]Colector Guacamayo'!$U$30</f>
        <v>8.6139308153483665</v>
      </c>
      <c r="Q7" s="44">
        <f t="shared" ref="Q7:Q21" si="6">1+(14/(4+(SQRT(O7/1000))))</f>
        <v>3.1990399756414258</v>
      </c>
      <c r="R7" s="34">
        <f t="shared" ref="R7:R21" si="7">+Q7*P7</f>
        <v>27.556309025708966</v>
      </c>
      <c r="S7" s="34">
        <f t="shared" ref="S7:S21" si="8">+P7*$S$4</f>
        <v>1.7227861630696735</v>
      </c>
      <c r="T7" s="34">
        <f t="shared" ref="T7:T21" si="9">+S7+R7</f>
        <v>29.279095188778641</v>
      </c>
      <c r="U7" s="34">
        <f>+'[3]Colector Guacamayo'!$AA$30</f>
        <v>31.321359756578456</v>
      </c>
      <c r="V7" s="46">
        <f t="shared" ref="V7:V21" si="10">+U7+T7</f>
        <v>60.6004549453571</v>
      </c>
      <c r="W7" s="52"/>
      <c r="X7" s="46">
        <f t="shared" ref="X7:X21" si="11">+G7</f>
        <v>60.6004549453571</v>
      </c>
      <c r="Y7" s="46">
        <f t="shared" ref="Y7:Y21" si="12">+V7-X7</f>
        <v>0</v>
      </c>
    </row>
    <row r="8" spans="1:25" x14ac:dyDescent="0.3">
      <c r="B8" s="2">
        <f t="shared" si="2"/>
        <v>2024</v>
      </c>
      <c r="C8" s="3">
        <f t="shared" si="3"/>
        <v>92.532866432841516</v>
      </c>
      <c r="D8" s="3">
        <f t="shared" si="0"/>
        <v>92.532866432841516</v>
      </c>
      <c r="E8" s="3">
        <f t="shared" si="4"/>
        <v>1.5647215860476851</v>
      </c>
      <c r="F8" s="3">
        <f t="shared" si="4"/>
        <v>274.4002673850145</v>
      </c>
      <c r="G8" s="3">
        <f>+'[4]Colector Guacamayo'!$AB$30</f>
        <v>61.948514290904498</v>
      </c>
      <c r="H8" s="3">
        <f t="shared" si="1"/>
        <v>30.584352141937018</v>
      </c>
      <c r="J8" s="12">
        <v>2</v>
      </c>
      <c r="L8" s="9"/>
      <c r="N8" s="56">
        <f t="shared" si="5"/>
        <v>2024</v>
      </c>
      <c r="O8" s="9">
        <f>+'[4]Colector Guacamayo'!$V$30</f>
        <v>5645.1043569879175</v>
      </c>
      <c r="P8" s="34">
        <f>+'[4]Colector Guacamayo'!$U$30</f>
        <v>8.8131472600131389</v>
      </c>
      <c r="Q8" s="44">
        <f t="shared" si="6"/>
        <v>3.1957536887433871</v>
      </c>
      <c r="R8" s="34">
        <f t="shared" si="7"/>
        <v>28.164647865625664</v>
      </c>
      <c r="S8" s="34">
        <f t="shared" si="8"/>
        <v>1.7626294520026278</v>
      </c>
      <c r="T8" s="34">
        <f t="shared" si="9"/>
        <v>29.927277317628292</v>
      </c>
      <c r="U8" s="34">
        <f>+'[4]Colector Guacamayo'!$AA$30</f>
        <v>32.02123697327621</v>
      </c>
      <c r="V8" s="46">
        <f t="shared" si="10"/>
        <v>61.948514290904498</v>
      </c>
      <c r="W8" s="52"/>
      <c r="X8" s="46">
        <f t="shared" si="11"/>
        <v>61.948514290904498</v>
      </c>
      <c r="Y8" s="46">
        <f t="shared" si="12"/>
        <v>0</v>
      </c>
    </row>
    <row r="9" spans="1:25" x14ac:dyDescent="0.3">
      <c r="B9" s="2">
        <f t="shared" si="2"/>
        <v>2025</v>
      </c>
      <c r="C9" s="3">
        <f t="shared" si="3"/>
        <v>92.532866432841516</v>
      </c>
      <c r="D9" s="3">
        <f t="shared" si="0"/>
        <v>92.532866432841516</v>
      </c>
      <c r="E9" s="3">
        <f t="shared" si="4"/>
        <v>1.5647215860476851</v>
      </c>
      <c r="F9" s="3">
        <f t="shared" si="4"/>
        <v>274.4002673850145</v>
      </c>
      <c r="G9" s="3">
        <f>+'[5]Colector Guacamayo'!$AB$30</f>
        <v>63.300608092187474</v>
      </c>
      <c r="H9" s="3">
        <f t="shared" si="1"/>
        <v>29.232258340654042</v>
      </c>
      <c r="J9" s="12">
        <v>3</v>
      </c>
      <c r="L9" s="9"/>
      <c r="N9" s="56">
        <f t="shared" si="5"/>
        <v>2025</v>
      </c>
      <c r="O9" s="9">
        <f>+'[5]Colector Guacamayo'!$V$30</f>
        <v>5690.4563168049417</v>
      </c>
      <c r="P9" s="34">
        <f>+'[5]Colector Guacamayo'!$U$30</f>
        <v>9.0132584039967778</v>
      </c>
      <c r="Q9" s="44">
        <f t="shared" si="6"/>
        <v>3.1924783868702202</v>
      </c>
      <c r="R9" s="34">
        <f t="shared" si="7"/>
        <v>28.774632650036089</v>
      </c>
      <c r="S9" s="34">
        <f t="shared" si="8"/>
        <v>1.8026516807993556</v>
      </c>
      <c r="T9" s="34">
        <f t="shared" si="9"/>
        <v>30.577284330835447</v>
      </c>
      <c r="U9" s="34">
        <f>+'[5]Colector Guacamayo'!$AA$30</f>
        <v>32.723323761352027</v>
      </c>
      <c r="V9" s="46">
        <f t="shared" si="10"/>
        <v>63.300608092187474</v>
      </c>
      <c r="W9" s="52"/>
      <c r="X9" s="46">
        <f t="shared" si="11"/>
        <v>63.300608092187474</v>
      </c>
      <c r="Y9" s="46">
        <f t="shared" si="12"/>
        <v>0</v>
      </c>
    </row>
    <row r="10" spans="1:25" x14ac:dyDescent="0.3">
      <c r="B10" s="2">
        <f t="shared" si="2"/>
        <v>2026</v>
      </c>
      <c r="C10" s="3">
        <f t="shared" si="3"/>
        <v>92.532866432841516</v>
      </c>
      <c r="D10" s="3">
        <f t="shared" si="0"/>
        <v>92.532866432841516</v>
      </c>
      <c r="E10" s="3">
        <f t="shared" si="4"/>
        <v>1.5647215860476851</v>
      </c>
      <c r="F10" s="3">
        <f t="shared" si="4"/>
        <v>274.4002673850145</v>
      </c>
      <c r="G10" s="3">
        <f>+'[6]Colector Guacamayo'!$AB$30</f>
        <v>64.666795813397755</v>
      </c>
      <c r="H10" s="3">
        <f t="shared" si="1"/>
        <v>27.866070619443761</v>
      </c>
      <c r="J10" s="12">
        <v>4</v>
      </c>
      <c r="L10" s="9"/>
      <c r="N10" s="56">
        <f t="shared" si="5"/>
        <v>2026</v>
      </c>
      <c r="O10" s="9">
        <f>+'[6]Colector Guacamayo'!$V$30</f>
        <v>5736.0561015389985</v>
      </c>
      <c r="P10" s="34">
        <f>+'[6]Colector Guacamayo'!$U$30</f>
        <v>9.2157130160983947</v>
      </c>
      <c r="Q10" s="44">
        <f t="shared" si="6"/>
        <v>3.1892080978044652</v>
      </c>
      <c r="R10" s="34">
        <f t="shared" si="7"/>
        <v>29.390826577983013</v>
      </c>
      <c r="S10" s="34">
        <f t="shared" si="8"/>
        <v>1.8431426032196789</v>
      </c>
      <c r="T10" s="34">
        <f t="shared" si="9"/>
        <v>31.233969181202692</v>
      </c>
      <c r="U10" s="34">
        <f>+'[6]Colector Guacamayo'!$AA$30</f>
        <v>33.432826632195059</v>
      </c>
      <c r="V10" s="46">
        <f t="shared" si="10"/>
        <v>64.666795813397755</v>
      </c>
      <c r="W10" s="52"/>
      <c r="X10" s="46">
        <f t="shared" si="11"/>
        <v>64.666795813397755</v>
      </c>
      <c r="Y10" s="46">
        <f t="shared" si="12"/>
        <v>0</v>
      </c>
    </row>
    <row r="11" spans="1:25" x14ac:dyDescent="0.3">
      <c r="B11" s="2">
        <f t="shared" si="2"/>
        <v>2027</v>
      </c>
      <c r="C11" s="3">
        <f t="shared" si="3"/>
        <v>92.532866432841516</v>
      </c>
      <c r="D11" s="3">
        <f t="shared" si="0"/>
        <v>92.532866432841516</v>
      </c>
      <c r="E11" s="3">
        <f t="shared" si="4"/>
        <v>1.5647215860476851</v>
      </c>
      <c r="F11" s="3">
        <f t="shared" si="4"/>
        <v>274.4002673850145</v>
      </c>
      <c r="G11" s="3">
        <f>+'[7]Colector Guacamayo'!$AB$30</f>
        <v>66.044540183384413</v>
      </c>
      <c r="H11" s="3">
        <f t="shared" si="1"/>
        <v>26.488326249457103</v>
      </c>
      <c r="J11" s="12">
        <v>5</v>
      </c>
      <c r="L11" s="9"/>
      <c r="N11" s="56">
        <f t="shared" si="5"/>
        <v>2027</v>
      </c>
      <c r="O11" s="9">
        <f>+'[7]Colector Guacamayo'!$V$30</f>
        <v>5781.8624070372498</v>
      </c>
      <c r="P11" s="34">
        <f>+'[7]Colector Guacamayo'!$U$30</f>
        <v>9.4201471731161632</v>
      </c>
      <c r="Q11" s="44">
        <f t="shared" si="6"/>
        <v>3.1859458080916685</v>
      </c>
      <c r="R11" s="34">
        <f t="shared" si="7"/>
        <v>30.012078397796021</v>
      </c>
      <c r="S11" s="34">
        <f t="shared" si="8"/>
        <v>1.8840294346232327</v>
      </c>
      <c r="T11" s="34">
        <f t="shared" si="9"/>
        <v>31.896107832419254</v>
      </c>
      <c r="U11" s="34">
        <f>+'[7]Colector Guacamayo'!$AA$30</f>
        <v>34.148432350965166</v>
      </c>
      <c r="V11" s="46">
        <f t="shared" si="10"/>
        <v>66.044540183384413</v>
      </c>
      <c r="W11" s="52"/>
      <c r="X11" s="46">
        <f t="shared" si="11"/>
        <v>66.044540183384413</v>
      </c>
      <c r="Y11" s="46">
        <f t="shared" si="12"/>
        <v>0</v>
      </c>
    </row>
    <row r="12" spans="1:25" x14ac:dyDescent="0.3">
      <c r="B12" s="2">
        <f t="shared" si="2"/>
        <v>2028</v>
      </c>
      <c r="C12" s="3">
        <f t="shared" si="3"/>
        <v>92.532866432841516</v>
      </c>
      <c r="D12" s="3">
        <f t="shared" si="0"/>
        <v>92.532866432841516</v>
      </c>
      <c r="E12" s="3">
        <f t="shared" si="4"/>
        <v>1.5647215860476851</v>
      </c>
      <c r="F12" s="3">
        <f t="shared" si="4"/>
        <v>274.4002673850145</v>
      </c>
      <c r="G12" s="3">
        <f>+'[8]Colector Guacamayo'!$AB$30</f>
        <v>67.439078091279157</v>
      </c>
      <c r="H12" s="3">
        <f t="shared" si="1"/>
        <v>25.093788341562359</v>
      </c>
      <c r="J12" s="12">
        <v>6</v>
      </c>
      <c r="L12" s="9"/>
      <c r="N12" s="56">
        <f t="shared" si="5"/>
        <v>2028</v>
      </c>
      <c r="O12" s="9">
        <f>+'[8]Colector Guacamayo'!$V$30</f>
        <v>5827.9165374525337</v>
      </c>
      <c r="P12" s="34">
        <f>+'[8]Colector Guacamayo'!$U$30</f>
        <v>9.6273198301625875</v>
      </c>
      <c r="Q12" s="44">
        <f t="shared" si="6"/>
        <v>3.1826885992649192</v>
      </c>
      <c r="R12" s="34">
        <f t="shared" si="7"/>
        <v>30.640761064935546</v>
      </c>
      <c r="S12" s="34">
        <f t="shared" si="8"/>
        <v>1.9254639660325177</v>
      </c>
      <c r="T12" s="34">
        <f t="shared" si="9"/>
        <v>32.566225030968063</v>
      </c>
      <c r="U12" s="34">
        <f>+'[8]Colector Guacamayo'!$AA$30</f>
        <v>34.872853060311101</v>
      </c>
      <c r="V12" s="46">
        <f t="shared" si="10"/>
        <v>67.439078091279157</v>
      </c>
      <c r="W12" s="52"/>
      <c r="X12" s="46">
        <f t="shared" si="11"/>
        <v>67.439078091279157</v>
      </c>
      <c r="Y12" s="46">
        <f t="shared" si="12"/>
        <v>0</v>
      </c>
    </row>
    <row r="13" spans="1:25" x14ac:dyDescent="0.3">
      <c r="B13" s="2">
        <f t="shared" si="2"/>
        <v>2029</v>
      </c>
      <c r="C13" s="3">
        <f t="shared" si="3"/>
        <v>92.532866432841516</v>
      </c>
      <c r="D13" s="3">
        <f t="shared" si="0"/>
        <v>92.532866432841516</v>
      </c>
      <c r="E13" s="3">
        <f t="shared" si="4"/>
        <v>1.5647215860476851</v>
      </c>
      <c r="F13" s="3">
        <f t="shared" si="4"/>
        <v>274.4002673850145</v>
      </c>
      <c r="G13" s="3">
        <f>+'[9]Colector Guacamayo'!$AB$30</f>
        <v>68.837147853611128</v>
      </c>
      <c r="H13" s="3">
        <f t="shared" si="1"/>
        <v>23.695718579230387</v>
      </c>
      <c r="J13" s="12">
        <v>7</v>
      </c>
      <c r="L13" s="9"/>
      <c r="N13" s="56">
        <f t="shared" si="5"/>
        <v>2029</v>
      </c>
      <c r="O13" s="9">
        <f>+'[9]Colector Guacamayo'!$V$30</f>
        <v>5874.135884479173</v>
      </c>
      <c r="P13" s="34">
        <f>+'[9]Colector Guacamayo'!$U$30</f>
        <v>9.8353273913259667</v>
      </c>
      <c r="Q13" s="44">
        <f t="shared" si="6"/>
        <v>3.1794423059588466</v>
      </c>
      <c r="R13" s="34">
        <f t="shared" si="7"/>
        <v>31.270856000937638</v>
      </c>
      <c r="S13" s="34">
        <f t="shared" si="8"/>
        <v>1.9670654782651935</v>
      </c>
      <c r="T13" s="34">
        <f t="shared" si="9"/>
        <v>33.237921479202832</v>
      </c>
      <c r="U13" s="34">
        <f>+'[9]Colector Guacamayo'!$AA$30</f>
        <v>35.599226374408289</v>
      </c>
      <c r="V13" s="46">
        <f t="shared" si="10"/>
        <v>68.837147853611128</v>
      </c>
      <c r="W13" s="52"/>
      <c r="X13" s="46">
        <f t="shared" si="11"/>
        <v>68.837147853611128</v>
      </c>
      <c r="Y13" s="46">
        <f t="shared" si="12"/>
        <v>0</v>
      </c>
    </row>
    <row r="14" spans="1:25" x14ac:dyDescent="0.3">
      <c r="B14" s="2">
        <f t="shared" si="2"/>
        <v>2030</v>
      </c>
      <c r="C14" s="3">
        <f t="shared" si="3"/>
        <v>92.532866432841516</v>
      </c>
      <c r="D14" s="3">
        <f t="shared" si="0"/>
        <v>92.532866432841516</v>
      </c>
      <c r="E14" s="3">
        <f t="shared" si="4"/>
        <v>1.5647215860476851</v>
      </c>
      <c r="F14" s="3">
        <f t="shared" si="4"/>
        <v>274.4002673850145</v>
      </c>
      <c r="G14" s="3">
        <f>+'[10]Colector Guacamayo'!$AB$30</f>
        <v>70.249358725294883</v>
      </c>
      <c r="H14" s="3">
        <f t="shared" si="1"/>
        <v>22.283507707546633</v>
      </c>
      <c r="J14" s="12">
        <v>8</v>
      </c>
      <c r="L14" s="9"/>
      <c r="N14" s="56">
        <f t="shared" si="5"/>
        <v>2030</v>
      </c>
      <c r="O14" s="9">
        <f>+'[10]Colector Guacamayo'!$V$30</f>
        <v>5920.6030564228449</v>
      </c>
      <c r="P14" s="34">
        <f>+'[10]Colector Guacamayo'!$U$30</f>
        <v>10.045702894797552</v>
      </c>
      <c r="Q14" s="44">
        <f t="shared" si="6"/>
        <v>3.1762011174536293</v>
      </c>
      <c r="R14" s="34">
        <f t="shared" si="7"/>
        <v>31.907172760063144</v>
      </c>
      <c r="S14" s="34">
        <f t="shared" si="8"/>
        <v>2.0091405789595105</v>
      </c>
      <c r="T14" s="34">
        <f t="shared" si="9"/>
        <v>33.916313339022658</v>
      </c>
      <c r="U14" s="34">
        <f>+'[10]Colector Guacamayo'!$AA$30</f>
        <v>36.333045386272218</v>
      </c>
      <c r="V14" s="46">
        <f t="shared" si="10"/>
        <v>70.249358725294883</v>
      </c>
      <c r="W14" s="52"/>
      <c r="X14" s="46">
        <f t="shared" si="11"/>
        <v>70.249358725294883</v>
      </c>
      <c r="Y14" s="46">
        <f t="shared" si="12"/>
        <v>0</v>
      </c>
    </row>
    <row r="15" spans="1:25" x14ac:dyDescent="0.3">
      <c r="B15" s="2">
        <f t="shared" si="2"/>
        <v>2031</v>
      </c>
      <c r="C15" s="3">
        <f t="shared" si="3"/>
        <v>92.532866432841516</v>
      </c>
      <c r="D15" s="3">
        <f t="shared" si="0"/>
        <v>92.532866432841516</v>
      </c>
      <c r="E15" s="3">
        <f t="shared" si="4"/>
        <v>1.5647215860476851</v>
      </c>
      <c r="F15" s="3">
        <f t="shared" si="4"/>
        <v>274.4002673850145</v>
      </c>
      <c r="G15" s="3">
        <f>+'[11]Colector Guacamayo'!$AB$30</f>
        <v>71.672960349320078</v>
      </c>
      <c r="H15" s="3">
        <f t="shared" si="1"/>
        <v>20.859906083521437</v>
      </c>
      <c r="J15" s="12">
        <v>9</v>
      </c>
      <c r="L15" s="9"/>
      <c r="N15" s="56">
        <f t="shared" si="5"/>
        <v>2031</v>
      </c>
      <c r="O15" s="9">
        <f>+'[11]Colector Guacamayo'!$V$30</f>
        <v>5967.3180532835495</v>
      </c>
      <c r="P15" s="34">
        <f>+'[11]Colector Guacamayo'!$U$30</f>
        <v>10.258057943185289</v>
      </c>
      <c r="Q15" s="44">
        <f t="shared" si="6"/>
        <v>3.1729650844024646</v>
      </c>
      <c r="R15" s="34">
        <f t="shared" si="7"/>
        <v>32.548459687504284</v>
      </c>
      <c r="S15" s="34">
        <f t="shared" si="8"/>
        <v>2.0516115886370581</v>
      </c>
      <c r="T15" s="34">
        <f t="shared" si="9"/>
        <v>34.600071276141342</v>
      </c>
      <c r="U15" s="34">
        <f>+'[11]Colector Guacamayo'!$AA$30</f>
        <v>37.072889073178743</v>
      </c>
      <c r="V15" s="46">
        <f t="shared" si="10"/>
        <v>71.672960349320078</v>
      </c>
      <c r="W15" s="52"/>
      <c r="X15" s="46">
        <f t="shared" si="11"/>
        <v>71.672960349320078</v>
      </c>
      <c r="Y15" s="46">
        <f t="shared" si="12"/>
        <v>0</v>
      </c>
    </row>
    <row r="16" spans="1:25" x14ac:dyDescent="0.3">
      <c r="B16" s="2">
        <f t="shared" si="2"/>
        <v>2032</v>
      </c>
      <c r="C16" s="3">
        <f t="shared" si="3"/>
        <v>92.532866432841516</v>
      </c>
      <c r="D16" s="3">
        <f t="shared" si="0"/>
        <v>92.532866432841516</v>
      </c>
      <c r="E16" s="3">
        <f t="shared" si="4"/>
        <v>1.5647215860476851</v>
      </c>
      <c r="F16" s="3">
        <f t="shared" si="4"/>
        <v>274.4002673850145</v>
      </c>
      <c r="G16" s="3">
        <f>+'[12]Colector Guacamayo'!$AB$30</f>
        <v>73.113468084285103</v>
      </c>
      <c r="H16" s="3">
        <f t="shared" si="1"/>
        <v>19.419398348556413</v>
      </c>
      <c r="J16" s="12">
        <v>10</v>
      </c>
      <c r="L16" s="9"/>
      <c r="N16" s="56">
        <f t="shared" si="5"/>
        <v>2032</v>
      </c>
      <c r="O16" s="9">
        <f>+'[12]Colector Guacamayo'!$V$30</f>
        <v>6014.2808750612876</v>
      </c>
      <c r="P16" s="34">
        <f>+'[12]Colector Guacamayo'!$U$30</f>
        <v>10.473186812613365</v>
      </c>
      <c r="Q16" s="44">
        <f t="shared" si="6"/>
        <v>3.1697342560227315</v>
      </c>
      <c r="R16" s="34">
        <f t="shared" si="7"/>
        <v>33.197219009666107</v>
      </c>
      <c r="S16" s="34">
        <f t="shared" si="8"/>
        <v>2.0946373625226733</v>
      </c>
      <c r="T16" s="34">
        <f t="shared" si="9"/>
        <v>35.291856372188782</v>
      </c>
      <c r="U16" s="34">
        <f>+'[12]Colector Guacamayo'!$AA$30</f>
        <v>37.821611712096313</v>
      </c>
      <c r="V16" s="46">
        <f t="shared" si="10"/>
        <v>73.113468084285103</v>
      </c>
      <c r="W16" s="52"/>
      <c r="X16" s="46">
        <f t="shared" si="11"/>
        <v>73.113468084285103</v>
      </c>
      <c r="Y16" s="46">
        <f t="shared" si="12"/>
        <v>0</v>
      </c>
    </row>
    <row r="17" spans="2:25" x14ac:dyDescent="0.3">
      <c r="B17" s="2">
        <f t="shared" si="2"/>
        <v>2033</v>
      </c>
      <c r="C17" s="3">
        <f t="shared" si="3"/>
        <v>92.532866432841516</v>
      </c>
      <c r="D17" s="3">
        <f t="shared" si="0"/>
        <v>92.532866432841516</v>
      </c>
      <c r="E17" s="3">
        <f t="shared" si="4"/>
        <v>1.5647215860476851</v>
      </c>
      <c r="F17" s="3">
        <f t="shared" si="4"/>
        <v>274.4002673850145</v>
      </c>
      <c r="G17" s="3">
        <f>+'[13]Colector Guacamayo'!$AB$30</f>
        <v>74.55684162207892</v>
      </c>
      <c r="H17" s="3">
        <f t="shared" si="1"/>
        <v>17.976024810762596</v>
      </c>
      <c r="J17" s="12">
        <v>11</v>
      </c>
      <c r="L17" s="9"/>
      <c r="N17" s="56">
        <f t="shared" si="5"/>
        <v>2033</v>
      </c>
      <c r="O17" s="9">
        <f>+'[13]Colector Guacamayo'!$V$30</f>
        <v>6061.5328259088974</v>
      </c>
      <c r="P17" s="34">
        <f>+'[13]Colector Guacamayo'!$U$30</f>
        <v>10.689090790956479</v>
      </c>
      <c r="Q17" s="44">
        <f t="shared" si="6"/>
        <v>3.1665058677994082</v>
      </c>
      <c r="R17" s="34">
        <f t="shared" si="7"/>
        <v>33.847068711004312</v>
      </c>
      <c r="S17" s="34">
        <f t="shared" si="8"/>
        <v>2.1378181581912958</v>
      </c>
      <c r="T17" s="34">
        <f t="shared" si="9"/>
        <v>35.984886869195606</v>
      </c>
      <c r="U17" s="34">
        <f>+'[13]Colector Guacamayo'!$AA$30</f>
        <v>38.571954752883315</v>
      </c>
      <c r="V17" s="46">
        <f t="shared" si="10"/>
        <v>74.55684162207892</v>
      </c>
      <c r="W17" s="52"/>
      <c r="X17" s="46">
        <f t="shared" si="11"/>
        <v>74.55684162207892</v>
      </c>
      <c r="Y17" s="46">
        <f t="shared" si="12"/>
        <v>0</v>
      </c>
    </row>
    <row r="18" spans="2:25" x14ac:dyDescent="0.3">
      <c r="B18" s="2">
        <f t="shared" si="2"/>
        <v>2034</v>
      </c>
      <c r="C18" s="3">
        <f t="shared" si="3"/>
        <v>92.532866432841516</v>
      </c>
      <c r="D18" s="3">
        <f t="shared" si="0"/>
        <v>92.532866432841516</v>
      </c>
      <c r="E18" s="3">
        <f t="shared" si="4"/>
        <v>1.5647215860476851</v>
      </c>
      <c r="F18" s="3">
        <f t="shared" si="4"/>
        <v>274.4002673850145</v>
      </c>
      <c r="G18" s="3">
        <f>+'[14]Colector Guacamayo'!$AB$30</f>
        <v>76.014511380027685</v>
      </c>
      <c r="H18" s="3">
        <f t="shared" si="1"/>
        <v>16.518355052813831</v>
      </c>
      <c r="J18" s="12">
        <v>12</v>
      </c>
      <c r="L18" s="9"/>
      <c r="N18" s="56">
        <f t="shared" si="5"/>
        <v>2034</v>
      </c>
      <c r="O18" s="9">
        <f>+'[14]Colector Guacamayo'!$V$30</f>
        <v>6108.9499933678617</v>
      </c>
      <c r="P18" s="34">
        <f>+'[14]Colector Guacamayo'!$U$30</f>
        <v>10.907387185798033</v>
      </c>
      <c r="Q18" s="44">
        <f t="shared" si="6"/>
        <v>3.1632884031376971</v>
      </c>
      <c r="R18" s="34">
        <f t="shared" si="7"/>
        <v>34.503211393367643</v>
      </c>
      <c r="S18" s="34">
        <f t="shared" si="8"/>
        <v>2.1814774371596068</v>
      </c>
      <c r="T18" s="34">
        <f t="shared" si="9"/>
        <v>36.68468883052725</v>
      </c>
      <c r="U18" s="34">
        <f>+'[14]Colector Guacamayo'!$AA$30</f>
        <v>39.329822549500435</v>
      </c>
      <c r="V18" s="46">
        <f t="shared" si="10"/>
        <v>76.014511380027685</v>
      </c>
      <c r="W18" s="52"/>
      <c r="X18" s="46">
        <f t="shared" si="11"/>
        <v>76.014511380027685</v>
      </c>
      <c r="Y18" s="46">
        <f t="shared" si="12"/>
        <v>0</v>
      </c>
    </row>
    <row r="19" spans="2:25" x14ac:dyDescent="0.3">
      <c r="B19" s="2">
        <f t="shared" si="2"/>
        <v>2035</v>
      </c>
      <c r="C19" s="3">
        <f t="shared" si="3"/>
        <v>92.532866432841516</v>
      </c>
      <c r="D19" s="3">
        <f t="shared" si="0"/>
        <v>92.532866432841516</v>
      </c>
      <c r="E19" s="3">
        <f t="shared" si="4"/>
        <v>1.5647215860476851</v>
      </c>
      <c r="F19" s="3">
        <f t="shared" si="4"/>
        <v>274.4002673850145</v>
      </c>
      <c r="G19" s="3">
        <f>+'[15]Colector Guacamayo'!$AB$30</f>
        <v>77.48334199520383</v>
      </c>
      <c r="H19" s="3">
        <f t="shared" si="1"/>
        <v>15.049524437637686</v>
      </c>
      <c r="J19" s="12">
        <v>13</v>
      </c>
      <c r="L19" s="9"/>
      <c r="N19" s="56">
        <f t="shared" si="5"/>
        <v>2035</v>
      </c>
      <c r="O19" s="9">
        <f>+'[15]Colector Guacamayo'!$V$30</f>
        <v>6156.6975940495377</v>
      </c>
      <c r="P19" s="34">
        <f>+'[15]Colector Guacamayo'!$U$30</f>
        <v>11.127663125555737</v>
      </c>
      <c r="Q19" s="44">
        <f t="shared" si="6"/>
        <v>3.1600706961885603</v>
      </c>
      <c r="R19" s="34">
        <f t="shared" si="7"/>
        <v>35.164202160126685</v>
      </c>
      <c r="S19" s="34">
        <f t="shared" si="8"/>
        <v>2.2255326251111476</v>
      </c>
      <c r="T19" s="34">
        <f t="shared" si="9"/>
        <v>37.389734785237835</v>
      </c>
      <c r="U19" s="34">
        <f>+'[15]Colector Guacamayo'!$AA$30</f>
        <v>40.093607209965995</v>
      </c>
      <c r="V19" s="46">
        <f t="shared" si="10"/>
        <v>77.48334199520383</v>
      </c>
      <c r="W19" s="52"/>
      <c r="X19" s="46">
        <f t="shared" si="11"/>
        <v>77.48334199520383</v>
      </c>
      <c r="Y19" s="46">
        <f t="shared" si="12"/>
        <v>0</v>
      </c>
    </row>
    <row r="20" spans="2:25" x14ac:dyDescent="0.3">
      <c r="B20" s="2">
        <f t="shared" si="2"/>
        <v>2036</v>
      </c>
      <c r="C20" s="3">
        <f t="shared" si="3"/>
        <v>92.532866432841516</v>
      </c>
      <c r="D20" s="3">
        <f t="shared" si="0"/>
        <v>92.532866432841516</v>
      </c>
      <c r="E20" s="3">
        <f t="shared" si="4"/>
        <v>1.5647215860476851</v>
      </c>
      <c r="F20" s="3">
        <f t="shared" si="4"/>
        <v>274.4002673850145</v>
      </c>
      <c r="G20" s="3">
        <f>+'[16]Colector Guacamayo'!$AB$30</f>
        <v>78.969245421130211</v>
      </c>
      <c r="H20" s="3">
        <f t="shared" si="1"/>
        <v>13.563621011711305</v>
      </c>
      <c r="J20" s="12">
        <v>14</v>
      </c>
      <c r="L20" s="9"/>
      <c r="N20" s="56">
        <f t="shared" si="5"/>
        <v>2036</v>
      </c>
      <c r="O20" s="9">
        <f>+'[16]Colector Guacamayo'!$V$30</f>
        <v>6204.6517154954072</v>
      </c>
      <c r="P20" s="34">
        <f>+'[16]Colector Guacamayo'!$U$30</f>
        <v>11.35074820736547</v>
      </c>
      <c r="Q20" s="44">
        <f t="shared" si="6"/>
        <v>3.1568611698801416</v>
      </c>
      <c r="R20" s="34">
        <f t="shared" si="7"/>
        <v>35.83273626491868</v>
      </c>
      <c r="S20" s="34">
        <f t="shared" si="8"/>
        <v>2.2701496414730942</v>
      </c>
      <c r="T20" s="34">
        <f t="shared" si="9"/>
        <v>38.102885906391776</v>
      </c>
      <c r="U20" s="34">
        <f>+'[16]Colector Guacamayo'!$AA$30</f>
        <v>40.866359514738427</v>
      </c>
      <c r="V20" s="46">
        <f t="shared" si="10"/>
        <v>78.969245421130211</v>
      </c>
      <c r="W20" s="52"/>
      <c r="X20" s="46">
        <f t="shared" si="11"/>
        <v>78.969245421130211</v>
      </c>
      <c r="Y20" s="46">
        <f t="shared" si="12"/>
        <v>0</v>
      </c>
    </row>
    <row r="21" spans="2:25" ht="13.8" thickBot="1" x14ac:dyDescent="0.35">
      <c r="B21" s="2">
        <f t="shared" si="2"/>
        <v>2037</v>
      </c>
      <c r="C21" s="3">
        <f t="shared" si="3"/>
        <v>92.532866432841516</v>
      </c>
      <c r="D21" s="3">
        <f t="shared" si="0"/>
        <v>92.532866432841516</v>
      </c>
      <c r="E21" s="3">
        <f t="shared" si="4"/>
        <v>1.5647215860476851</v>
      </c>
      <c r="F21" s="3">
        <f t="shared" si="4"/>
        <v>274.4002673850145</v>
      </c>
      <c r="G21" s="3">
        <f>+'[17]Colector Guacamayo'!$AB$30</f>
        <v>80.457508348657086</v>
      </c>
      <c r="H21" s="3">
        <f t="shared" si="1"/>
        <v>12.07535808418443</v>
      </c>
      <c r="I21" s="13">
        <f>+G21/G6-1</f>
        <v>0.36838108867590269</v>
      </c>
      <c r="J21" s="12">
        <v>15</v>
      </c>
      <c r="L21" s="9"/>
      <c r="M21" s="8"/>
      <c r="N21" s="58">
        <f t="shared" si="5"/>
        <v>2037</v>
      </c>
      <c r="O21" s="59">
        <f>+'[17]Colector Guacamayo'!$V$30</f>
        <v>6252.8949660111484</v>
      </c>
      <c r="P21" s="60">
        <f>+'[17]Colector Guacamayo'!$U$30</f>
        <v>11.574548602888324</v>
      </c>
      <c r="Q21" s="61">
        <f t="shared" si="6"/>
        <v>3.1536543374062327</v>
      </c>
      <c r="R21" s="60">
        <f t="shared" si="7"/>
        <v>36.502125405018013</v>
      </c>
      <c r="S21" s="60">
        <f t="shared" si="8"/>
        <v>2.3149097205776648</v>
      </c>
      <c r="T21" s="60">
        <f t="shared" si="9"/>
        <v>38.81703512559568</v>
      </c>
      <c r="U21" s="60">
        <f>+'[17]Colector Guacamayo'!$AA$30</f>
        <v>41.640473223061399</v>
      </c>
      <c r="V21" s="64">
        <f t="shared" si="10"/>
        <v>80.457508348657086</v>
      </c>
      <c r="W21" s="68"/>
      <c r="X21" s="46">
        <f t="shared" si="11"/>
        <v>80.457508348657086</v>
      </c>
      <c r="Y21" s="46">
        <f t="shared" si="12"/>
        <v>0</v>
      </c>
    </row>
    <row r="22" spans="2:25" x14ac:dyDescent="0.3">
      <c r="L22" s="9"/>
      <c r="O22" s="9"/>
      <c r="P22" s="34"/>
    </row>
    <row r="23" spans="2:25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FF00"/>
  </sheetPr>
  <dimension ref="A2:S68"/>
  <sheetViews>
    <sheetView showGridLines="0" topLeftCell="C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29</v>
      </c>
      <c r="E2" s="6" t="s">
        <v>7</v>
      </c>
      <c r="F2" s="7">
        <f>+SUM('[17]Colector Balmaceda'!$M$17:$M$29)</f>
        <v>803.53</v>
      </c>
      <c r="G2" s="8" t="s">
        <v>8</v>
      </c>
    </row>
    <row r="3" spans="1:8" x14ac:dyDescent="0.3">
      <c r="B3" s="8" t="s">
        <v>71</v>
      </c>
    </row>
    <row r="4" spans="1:8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</row>
    <row r="5" spans="1:8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</row>
    <row r="6" spans="1:8" x14ac:dyDescent="0.3">
      <c r="A6" s="12" t="s">
        <v>6</v>
      </c>
      <c r="B6" s="2">
        <f>+'Colec Bosque Sur'!B6</f>
        <v>2022</v>
      </c>
      <c r="C6" s="3">
        <f>+SUMPRODUCT('[17]Colector Balmaceda'!$AL$17:$AL$29,'[17]Colector Balmaceda'!$M$17:$M$29)/'[17]Colector Balmaceda'!$N$29</f>
        <v>48.245688258131956</v>
      </c>
      <c r="D6" s="3">
        <f t="shared" ref="D6:D21" si="0">+C6</f>
        <v>48.245688258131956</v>
      </c>
      <c r="E6" s="3">
        <f>D6/(0.25*PI()*(F6/1000)^2)/1000</f>
        <v>0.88287851980270171</v>
      </c>
      <c r="F6" s="3">
        <f>+SUMPRODUCT('[17]Colector Balmaceda'!$F$17:$F$29,'[17]Colector Balmaceda'!$M$17:$M$29)/'[17]Colector Balmaceda'!$N$29</f>
        <v>263.77512476198774</v>
      </c>
      <c r="G6" s="3">
        <f>+'[2]Colector Balmaceda'!$AB$29</f>
        <v>18.525300500409138</v>
      </c>
      <c r="H6" s="3">
        <f t="shared" ref="H6:H21" si="1">+D6-G6</f>
        <v>29.720387757722818</v>
      </c>
    </row>
    <row r="7" spans="1:8" x14ac:dyDescent="0.3">
      <c r="B7" s="2">
        <f t="shared" ref="B7:B21" si="2">+B6+1</f>
        <v>2023</v>
      </c>
      <c r="C7" s="3">
        <f t="shared" ref="C7:C21" si="3">+C6</f>
        <v>48.245688258131956</v>
      </c>
      <c r="D7" s="3">
        <f t="shared" si="0"/>
        <v>48.245688258131956</v>
      </c>
      <c r="E7" s="3">
        <f t="shared" ref="E7:F21" si="4">+E6</f>
        <v>0.88287851980270171</v>
      </c>
      <c r="F7" s="3">
        <f t="shared" si="4"/>
        <v>263.77512476198774</v>
      </c>
      <c r="G7" s="3">
        <f>+'[3]Colector Balmaceda'!$AB$29</f>
        <v>19.022295368230498</v>
      </c>
      <c r="H7" s="3">
        <f t="shared" si="1"/>
        <v>29.223392889901458</v>
      </c>
    </row>
    <row r="8" spans="1:8" x14ac:dyDescent="0.3">
      <c r="B8" s="2">
        <f t="shared" si="2"/>
        <v>2024</v>
      </c>
      <c r="C8" s="3">
        <f t="shared" si="3"/>
        <v>48.245688258131956</v>
      </c>
      <c r="D8" s="3">
        <f t="shared" si="0"/>
        <v>48.245688258131956</v>
      </c>
      <c r="E8" s="3">
        <f t="shared" si="4"/>
        <v>0.88287851980270171</v>
      </c>
      <c r="F8" s="3">
        <f t="shared" si="4"/>
        <v>263.77512476198774</v>
      </c>
      <c r="G8" s="3">
        <f>+'[4]Colector Balmaceda'!$AB$29</f>
        <v>19.394088348780258</v>
      </c>
      <c r="H8" s="3">
        <f t="shared" si="1"/>
        <v>28.851599909351698</v>
      </c>
    </row>
    <row r="9" spans="1:8" x14ac:dyDescent="0.3">
      <c r="B9" s="2">
        <f t="shared" si="2"/>
        <v>2025</v>
      </c>
      <c r="C9" s="3">
        <f t="shared" si="3"/>
        <v>48.245688258131956</v>
      </c>
      <c r="D9" s="3">
        <f t="shared" si="0"/>
        <v>48.245688258131956</v>
      </c>
      <c r="E9" s="3">
        <f t="shared" si="4"/>
        <v>0.88287851980270171</v>
      </c>
      <c r="F9" s="3">
        <f t="shared" si="4"/>
        <v>263.77512476198774</v>
      </c>
      <c r="G9" s="3">
        <f>+'[5]Colector Balmaceda'!$AB$29</f>
        <v>19.767415837931814</v>
      </c>
      <c r="H9" s="3">
        <f t="shared" si="1"/>
        <v>28.478272420200142</v>
      </c>
    </row>
    <row r="10" spans="1:8" x14ac:dyDescent="0.3">
      <c r="B10" s="2">
        <f t="shared" si="2"/>
        <v>2026</v>
      </c>
      <c r="C10" s="3">
        <f t="shared" si="3"/>
        <v>48.245688258131956</v>
      </c>
      <c r="D10" s="3">
        <f t="shared" si="0"/>
        <v>48.245688258131956</v>
      </c>
      <c r="E10" s="3">
        <f t="shared" si="4"/>
        <v>0.88287851980270171</v>
      </c>
      <c r="F10" s="3">
        <f t="shared" si="4"/>
        <v>263.77512476198774</v>
      </c>
      <c r="G10" s="3">
        <f>+'[6]Colector Balmaceda'!$AB$29</f>
        <v>20.145061248470064</v>
      </c>
      <c r="H10" s="3">
        <f t="shared" si="1"/>
        <v>28.100627009661892</v>
      </c>
    </row>
    <row r="11" spans="1:8" x14ac:dyDescent="0.3">
      <c r="B11" s="2">
        <f t="shared" si="2"/>
        <v>2027</v>
      </c>
      <c r="C11" s="3">
        <f t="shared" si="3"/>
        <v>48.245688258131956</v>
      </c>
      <c r="D11" s="3">
        <f t="shared" si="0"/>
        <v>48.245688258131956</v>
      </c>
      <c r="E11" s="3">
        <f t="shared" si="4"/>
        <v>0.88287851980270171</v>
      </c>
      <c r="F11" s="3">
        <f t="shared" si="4"/>
        <v>263.77512476198774</v>
      </c>
      <c r="G11" s="3">
        <f>+'[7]Colector Balmaceda'!$AB$29</f>
        <v>20.526326161568992</v>
      </c>
      <c r="H11" s="3">
        <f t="shared" si="1"/>
        <v>27.719362096562964</v>
      </c>
    </row>
    <row r="12" spans="1:8" x14ac:dyDescent="0.3">
      <c r="B12" s="2">
        <f t="shared" si="2"/>
        <v>2028</v>
      </c>
      <c r="C12" s="3">
        <f t="shared" si="3"/>
        <v>48.245688258131956</v>
      </c>
      <c r="D12" s="3">
        <f t="shared" si="0"/>
        <v>48.245688258131956</v>
      </c>
      <c r="E12" s="3">
        <f t="shared" si="4"/>
        <v>0.88287851980270171</v>
      </c>
      <c r="F12" s="3">
        <f t="shared" si="4"/>
        <v>263.77512476198774</v>
      </c>
      <c r="G12" s="3">
        <f>+'[8]Colector Balmaceda'!$AB$29</f>
        <v>20.912665928250778</v>
      </c>
      <c r="H12" s="3">
        <f t="shared" si="1"/>
        <v>27.333022329881178</v>
      </c>
    </row>
    <row r="13" spans="1:8" x14ac:dyDescent="0.3">
      <c r="B13" s="2">
        <f t="shared" si="2"/>
        <v>2029</v>
      </c>
      <c r="C13" s="3">
        <f t="shared" si="3"/>
        <v>48.245688258131956</v>
      </c>
      <c r="D13" s="3">
        <f t="shared" si="0"/>
        <v>48.245688258131956</v>
      </c>
      <c r="E13" s="3">
        <f t="shared" si="4"/>
        <v>0.88287851980270171</v>
      </c>
      <c r="F13" s="3">
        <f t="shared" si="4"/>
        <v>263.77512476198774</v>
      </c>
      <c r="G13" s="3">
        <f>+'[9]Colector Balmaceda'!$AB$29</f>
        <v>21.300404764841964</v>
      </c>
      <c r="H13" s="3">
        <f t="shared" si="1"/>
        <v>26.945283493289992</v>
      </c>
    </row>
    <row r="14" spans="1:8" x14ac:dyDescent="0.3">
      <c r="B14" s="2">
        <f t="shared" si="2"/>
        <v>2030</v>
      </c>
      <c r="C14" s="3">
        <f t="shared" si="3"/>
        <v>48.245688258131956</v>
      </c>
      <c r="D14" s="3">
        <f t="shared" si="0"/>
        <v>48.245688258131956</v>
      </c>
      <c r="E14" s="3">
        <f t="shared" si="4"/>
        <v>0.88287851980270171</v>
      </c>
      <c r="F14" s="3">
        <f t="shared" si="4"/>
        <v>263.77512476198774</v>
      </c>
      <c r="G14" s="3">
        <f>+'[10]Colector Balmaceda'!$AB$29</f>
        <v>21.692487830985733</v>
      </c>
      <c r="H14" s="3">
        <f t="shared" si="1"/>
        <v>26.553200427146223</v>
      </c>
    </row>
    <row r="15" spans="1:8" x14ac:dyDescent="0.3">
      <c r="B15" s="2">
        <f t="shared" si="2"/>
        <v>2031</v>
      </c>
      <c r="C15" s="3">
        <f t="shared" si="3"/>
        <v>48.245688258131956</v>
      </c>
      <c r="D15" s="3">
        <f t="shared" si="0"/>
        <v>48.245688258131956</v>
      </c>
      <c r="E15" s="3">
        <f t="shared" si="4"/>
        <v>0.88287851980270171</v>
      </c>
      <c r="F15" s="3">
        <f t="shared" si="4"/>
        <v>263.77512476198774</v>
      </c>
      <c r="G15" s="3">
        <f>+'[11]Colector Balmaceda'!$AB$29</f>
        <v>22.088154804797366</v>
      </c>
      <c r="H15" s="3">
        <f t="shared" si="1"/>
        <v>26.15753345333459</v>
      </c>
    </row>
    <row r="16" spans="1:8" x14ac:dyDescent="0.3">
      <c r="B16" s="2">
        <f t="shared" si="2"/>
        <v>2032</v>
      </c>
      <c r="C16" s="3">
        <f t="shared" si="3"/>
        <v>48.245688258131956</v>
      </c>
      <c r="D16" s="3">
        <f t="shared" si="0"/>
        <v>48.245688258131956</v>
      </c>
      <c r="E16" s="3">
        <f t="shared" si="4"/>
        <v>0.88287851980270171</v>
      </c>
      <c r="F16" s="3">
        <f t="shared" si="4"/>
        <v>263.77512476198774</v>
      </c>
      <c r="G16" s="3">
        <f>+'[12]Colector Balmaceda'!$AB$29</f>
        <v>22.488943302805747</v>
      </c>
      <c r="H16" s="3">
        <f t="shared" si="1"/>
        <v>25.756744955326209</v>
      </c>
    </row>
    <row r="17" spans="2:18" x14ac:dyDescent="0.3">
      <c r="B17" s="2">
        <f t="shared" si="2"/>
        <v>2033</v>
      </c>
      <c r="C17" s="3">
        <f t="shared" si="3"/>
        <v>48.245688258131956</v>
      </c>
      <c r="D17" s="3">
        <f t="shared" si="0"/>
        <v>48.245688258131956</v>
      </c>
      <c r="E17" s="3">
        <f t="shared" si="4"/>
        <v>0.88287851980270171</v>
      </c>
      <c r="F17" s="3">
        <f t="shared" si="4"/>
        <v>263.77512476198774</v>
      </c>
      <c r="G17" s="3">
        <f>+'[13]Colector Balmaceda'!$AB$29</f>
        <v>22.890949668888382</v>
      </c>
      <c r="H17" s="3">
        <f t="shared" si="1"/>
        <v>25.354738589243574</v>
      </c>
    </row>
    <row r="18" spans="2:18" x14ac:dyDescent="0.3">
      <c r="B18" s="2">
        <f t="shared" si="2"/>
        <v>2034</v>
      </c>
      <c r="C18" s="3">
        <f t="shared" si="3"/>
        <v>48.245688258131956</v>
      </c>
      <c r="D18" s="3">
        <f t="shared" si="0"/>
        <v>48.245688258131956</v>
      </c>
      <c r="E18" s="3">
        <f t="shared" si="4"/>
        <v>0.88287851980270171</v>
      </c>
      <c r="F18" s="3">
        <f t="shared" si="4"/>
        <v>263.77512476198774</v>
      </c>
      <c r="G18" s="3">
        <f>+'[14]Colector Balmaceda'!$AB$29</f>
        <v>23.29735629210121</v>
      </c>
      <c r="H18" s="3">
        <f t="shared" si="1"/>
        <v>24.948331966030747</v>
      </c>
    </row>
    <row r="19" spans="2:18" x14ac:dyDescent="0.3">
      <c r="B19" s="2">
        <f t="shared" si="2"/>
        <v>2035</v>
      </c>
      <c r="C19" s="3">
        <f t="shared" si="3"/>
        <v>48.245688258131956</v>
      </c>
      <c r="D19" s="3">
        <f t="shared" si="0"/>
        <v>48.245688258131956</v>
      </c>
      <c r="E19" s="3">
        <f t="shared" si="4"/>
        <v>0.88287851980270171</v>
      </c>
      <c r="F19" s="3">
        <f t="shared" si="4"/>
        <v>263.77512476198774</v>
      </c>
      <c r="G19" s="3">
        <f>+'[15]Colector Balmaceda'!$AB$29</f>
        <v>23.707294384922555</v>
      </c>
      <c r="H19" s="3">
        <f t="shared" si="1"/>
        <v>24.538393873209401</v>
      </c>
    </row>
    <row r="20" spans="2:18" x14ac:dyDescent="0.3">
      <c r="B20" s="2">
        <f t="shared" si="2"/>
        <v>2036</v>
      </c>
      <c r="C20" s="3">
        <f t="shared" si="3"/>
        <v>48.245688258131956</v>
      </c>
      <c r="D20" s="3">
        <f t="shared" si="0"/>
        <v>48.245688258131956</v>
      </c>
      <c r="E20" s="3">
        <f t="shared" si="4"/>
        <v>0.88287851980270171</v>
      </c>
      <c r="F20" s="3">
        <f t="shared" si="4"/>
        <v>263.77512476198774</v>
      </c>
      <c r="G20" s="3">
        <f>+'[16]Colector Balmaceda'!$AB$29</f>
        <v>24.122415375004216</v>
      </c>
      <c r="H20" s="3">
        <f t="shared" si="1"/>
        <v>24.12327288312774</v>
      </c>
    </row>
    <row r="21" spans="2:18" x14ac:dyDescent="0.3">
      <c r="B21" s="2">
        <f t="shared" si="2"/>
        <v>2037</v>
      </c>
      <c r="C21" s="3">
        <f t="shared" si="3"/>
        <v>48.245688258131956</v>
      </c>
      <c r="D21" s="3">
        <f t="shared" si="0"/>
        <v>48.245688258131956</v>
      </c>
      <c r="E21" s="3">
        <f t="shared" si="4"/>
        <v>0.88287851980270171</v>
      </c>
      <c r="F21" s="3">
        <f t="shared" si="4"/>
        <v>263.77512476198774</v>
      </c>
      <c r="G21" s="3">
        <f>+'[17]Colector Balmaceda'!$AB$29</f>
        <v>24.53861728730363</v>
      </c>
      <c r="H21" s="3">
        <f t="shared" si="1"/>
        <v>23.707070970828326</v>
      </c>
      <c r="I21" s="13">
        <f>+G21/G6-1</f>
        <v>0.32460022911702224</v>
      </c>
      <c r="L21" s="8"/>
    </row>
    <row r="25" spans="2:18" x14ac:dyDescent="0.3">
      <c r="B25" s="5" t="s">
        <v>29</v>
      </c>
      <c r="E25" s="6" t="s">
        <v>7</v>
      </c>
      <c r="F25" s="7">
        <f>+'[17]Colector Balmaceda'!$M$30+'[17]Colector Balmaceda'!$M$31</f>
        <v>125.48</v>
      </c>
      <c r="G25" s="8" t="s">
        <v>8</v>
      </c>
      <c r="L25" s="5" t="s">
        <v>74</v>
      </c>
      <c r="O25" s="6"/>
      <c r="P25" s="7"/>
      <c r="Q25" s="8"/>
    </row>
    <row r="26" spans="2:18" x14ac:dyDescent="0.3">
      <c r="B26" s="8" t="s">
        <v>72</v>
      </c>
    </row>
    <row r="27" spans="2:18" x14ac:dyDescent="0.3">
      <c r="B27" s="96" t="s">
        <v>0</v>
      </c>
      <c r="C27" s="96" t="s">
        <v>20</v>
      </c>
      <c r="D27" s="96" t="s">
        <v>1</v>
      </c>
      <c r="E27" s="96"/>
      <c r="F27" s="96"/>
      <c r="G27" s="96" t="s">
        <v>21</v>
      </c>
      <c r="H27" s="96" t="s">
        <v>2</v>
      </c>
      <c r="L27" s="96" t="s">
        <v>0</v>
      </c>
      <c r="M27" s="96" t="s">
        <v>13</v>
      </c>
      <c r="N27" s="97" t="s">
        <v>14</v>
      </c>
      <c r="O27" s="98"/>
      <c r="P27" s="98"/>
      <c r="Q27" s="99"/>
      <c r="R27" s="100" t="s">
        <v>19</v>
      </c>
    </row>
    <row r="28" spans="2:18" x14ac:dyDescent="0.3">
      <c r="B28" s="96"/>
      <c r="C28" s="96"/>
      <c r="D28" s="18" t="s">
        <v>3</v>
      </c>
      <c r="E28" s="18" t="s">
        <v>4</v>
      </c>
      <c r="F28" s="18" t="s">
        <v>5</v>
      </c>
      <c r="G28" s="96"/>
      <c r="H28" s="96"/>
      <c r="L28" s="96"/>
      <c r="M28" s="96"/>
      <c r="N28" s="18" t="s">
        <v>17</v>
      </c>
      <c r="O28" s="18" t="s">
        <v>16</v>
      </c>
      <c r="P28" s="18" t="s">
        <v>15</v>
      </c>
      <c r="Q28" s="18" t="s">
        <v>18</v>
      </c>
      <c r="R28" s="101"/>
    </row>
    <row r="29" spans="2:18" x14ac:dyDescent="0.3">
      <c r="B29" s="2">
        <f>+B6</f>
        <v>2022</v>
      </c>
      <c r="C29" s="3">
        <f>+'[17]Colector Balmaceda'!$AL$30</f>
        <v>20.117285254936469</v>
      </c>
      <c r="D29" s="40">
        <v>19.191771299824907</v>
      </c>
      <c r="E29" s="3">
        <f>D29/(0.25*PI()*(F29/1000)^2)/1000</f>
        <v>0.44097326614202165</v>
      </c>
      <c r="F29" s="40">
        <v>235.4</v>
      </c>
      <c r="G29" s="39">
        <f>+G6</f>
        <v>18.525300500409138</v>
      </c>
      <c r="H29" s="39">
        <f t="shared" ref="H29:H44" si="5">+D29-G29</f>
        <v>0.66647079941576948</v>
      </c>
      <c r="K29" s="12">
        <v>0</v>
      </c>
      <c r="L29" s="2">
        <f>+B29</f>
        <v>2022</v>
      </c>
      <c r="M29" s="1" t="str">
        <f t="shared" ref="M29:M44" si="6">+IF(H29&gt;0,"",-H29)</f>
        <v/>
      </c>
      <c r="N29" s="14"/>
      <c r="O29" s="14"/>
      <c r="P29" s="14"/>
      <c r="Q29" s="14"/>
      <c r="R29" s="1"/>
    </row>
    <row r="30" spans="2:18" x14ac:dyDescent="0.3">
      <c r="B30" s="2">
        <f t="shared" ref="B30:B44" si="7">+B29+1</f>
        <v>2023</v>
      </c>
      <c r="C30" s="3">
        <f t="shared" ref="C30:C44" si="8">+C29</f>
        <v>20.117285254936469</v>
      </c>
      <c r="D30" s="3">
        <f t="shared" ref="D30:D44" si="9">+C30</f>
        <v>20.117285254936469</v>
      </c>
      <c r="E30" s="3">
        <f t="shared" ref="E30:E44" si="10">+E29</f>
        <v>0.44097326614202165</v>
      </c>
      <c r="F30" s="3">
        <f t="shared" ref="F30:F44" si="11">+F29</f>
        <v>235.4</v>
      </c>
      <c r="G30" s="39">
        <f t="shared" ref="G30:G44" si="12">+G7</f>
        <v>19.022295368230498</v>
      </c>
      <c r="H30" s="39">
        <f t="shared" si="5"/>
        <v>1.0949898867059709</v>
      </c>
      <c r="K30" s="12">
        <v>1</v>
      </c>
      <c r="L30" s="2">
        <f t="shared" ref="L30:L44" si="13">+L29+1</f>
        <v>2023</v>
      </c>
      <c r="M30" s="1" t="str">
        <f t="shared" si="6"/>
        <v/>
      </c>
      <c r="N30" s="14"/>
      <c r="O30" s="14"/>
      <c r="P30" s="14"/>
      <c r="Q30" s="14"/>
      <c r="R30" s="1"/>
    </row>
    <row r="31" spans="2:18" x14ac:dyDescent="0.3">
      <c r="B31" s="2">
        <f t="shared" si="7"/>
        <v>2024</v>
      </c>
      <c r="C31" s="3">
        <f t="shared" si="8"/>
        <v>20.117285254936469</v>
      </c>
      <c r="D31" s="3">
        <f t="shared" si="9"/>
        <v>20.117285254936469</v>
      </c>
      <c r="E31" s="3">
        <f t="shared" si="10"/>
        <v>0.44097326614202165</v>
      </c>
      <c r="F31" s="3">
        <f t="shared" si="11"/>
        <v>235.4</v>
      </c>
      <c r="G31" s="39">
        <f t="shared" si="12"/>
        <v>19.394088348780258</v>
      </c>
      <c r="H31" s="39">
        <f t="shared" si="5"/>
        <v>0.72319690615621113</v>
      </c>
      <c r="K31" s="12">
        <v>2</v>
      </c>
      <c r="L31" s="2">
        <f t="shared" si="13"/>
        <v>2024</v>
      </c>
      <c r="M31" s="1" t="str">
        <f t="shared" si="6"/>
        <v/>
      </c>
      <c r="N31" s="4"/>
      <c r="O31" s="3"/>
      <c r="P31" s="1"/>
      <c r="Q31" s="3"/>
      <c r="R31" s="1"/>
    </row>
    <row r="32" spans="2:18" x14ac:dyDescent="0.3">
      <c r="B32" s="2">
        <f t="shared" si="7"/>
        <v>2025</v>
      </c>
      <c r="C32" s="3">
        <f t="shared" si="8"/>
        <v>20.117285254936469</v>
      </c>
      <c r="D32" s="3">
        <f t="shared" si="9"/>
        <v>20.117285254936469</v>
      </c>
      <c r="E32" s="3">
        <f t="shared" si="10"/>
        <v>0.44097326614202165</v>
      </c>
      <c r="F32" s="3">
        <f t="shared" si="11"/>
        <v>235.4</v>
      </c>
      <c r="G32" s="39">
        <f t="shared" si="12"/>
        <v>19.767415837931814</v>
      </c>
      <c r="H32" s="39">
        <f t="shared" si="5"/>
        <v>0.34986941700465479</v>
      </c>
      <c r="K32" s="12">
        <v>3</v>
      </c>
      <c r="L32" s="2">
        <f t="shared" si="13"/>
        <v>2025</v>
      </c>
      <c r="M32" s="1" t="str">
        <f t="shared" si="6"/>
        <v/>
      </c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20.117285254936469</v>
      </c>
      <c r="D33" s="3">
        <f t="shared" si="9"/>
        <v>20.117285254936469</v>
      </c>
      <c r="E33" s="3">
        <f t="shared" si="10"/>
        <v>0.44097326614202165</v>
      </c>
      <c r="F33" s="3">
        <f t="shared" si="11"/>
        <v>235.4</v>
      </c>
      <c r="G33" s="39">
        <f t="shared" si="12"/>
        <v>20.145061248470064</v>
      </c>
      <c r="H33" s="39">
        <f t="shared" si="5"/>
        <v>-2.7775993533595056E-2</v>
      </c>
      <c r="K33" s="12">
        <v>4</v>
      </c>
      <c r="L33" s="2">
        <f t="shared" si="13"/>
        <v>2026</v>
      </c>
      <c r="M33" s="3">
        <f t="shared" si="6"/>
        <v>2.7775993533595056E-2</v>
      </c>
      <c r="N33" s="4">
        <f>+F25</f>
        <v>125.48</v>
      </c>
      <c r="O33" s="4">
        <f>+O36</f>
        <v>250</v>
      </c>
      <c r="P33" s="3">
        <f>+P36</f>
        <v>19.016809916366149</v>
      </c>
      <c r="Q33" s="3">
        <f>+Q36</f>
        <v>0.45533305401552804</v>
      </c>
      <c r="R33" s="3">
        <f t="shared" ref="R33:R35" si="14">+P33-M33</f>
        <v>18.989033922832554</v>
      </c>
    </row>
    <row r="34" spans="2:19" x14ac:dyDescent="0.3">
      <c r="B34" s="2">
        <f t="shared" si="7"/>
        <v>2027</v>
      </c>
      <c r="C34" s="3">
        <f t="shared" si="8"/>
        <v>20.117285254936469</v>
      </c>
      <c r="D34" s="3">
        <f t="shared" si="9"/>
        <v>20.117285254936469</v>
      </c>
      <c r="E34" s="3">
        <f t="shared" si="10"/>
        <v>0.44097326614202165</v>
      </c>
      <c r="F34" s="3">
        <f t="shared" si="11"/>
        <v>235.4</v>
      </c>
      <c r="G34" s="39">
        <f t="shared" si="12"/>
        <v>20.526326161568992</v>
      </c>
      <c r="H34" s="39">
        <f t="shared" si="5"/>
        <v>-0.4090409066325229</v>
      </c>
      <c r="K34" s="12">
        <v>5</v>
      </c>
      <c r="L34" s="2">
        <f t="shared" si="13"/>
        <v>2027</v>
      </c>
      <c r="M34" s="3">
        <f t="shared" si="6"/>
        <v>0.4090409066325229</v>
      </c>
      <c r="N34" s="4">
        <f>+N33</f>
        <v>125.48</v>
      </c>
      <c r="O34" s="4">
        <f t="shared" ref="O34:O35" si="15">+O37</f>
        <v>250</v>
      </c>
      <c r="P34" s="3">
        <f>+P33</f>
        <v>19.016809916366149</v>
      </c>
      <c r="Q34" s="3">
        <f>+Q33</f>
        <v>0.45533305401552804</v>
      </c>
      <c r="R34" s="3">
        <f t="shared" si="14"/>
        <v>18.607769009733627</v>
      </c>
    </row>
    <row r="35" spans="2:19" x14ac:dyDescent="0.3">
      <c r="B35" s="2">
        <f t="shared" si="7"/>
        <v>2028</v>
      </c>
      <c r="C35" s="3">
        <f t="shared" si="8"/>
        <v>20.117285254936469</v>
      </c>
      <c r="D35" s="3">
        <f t="shared" si="9"/>
        <v>20.117285254936469</v>
      </c>
      <c r="E35" s="3">
        <f t="shared" si="10"/>
        <v>0.44097326614202165</v>
      </c>
      <c r="F35" s="3">
        <f t="shared" si="11"/>
        <v>235.4</v>
      </c>
      <c r="G35" s="39">
        <f t="shared" si="12"/>
        <v>20.912665928250778</v>
      </c>
      <c r="H35" s="39">
        <f t="shared" si="5"/>
        <v>-0.79538067331430895</v>
      </c>
      <c r="K35" s="12">
        <v>6</v>
      </c>
      <c r="L35" s="2">
        <f t="shared" si="13"/>
        <v>2028</v>
      </c>
      <c r="M35" s="3">
        <f t="shared" si="6"/>
        <v>0.79538067331430895</v>
      </c>
      <c r="N35" s="4">
        <f>+N34</f>
        <v>125.48</v>
      </c>
      <c r="O35" s="4">
        <f t="shared" si="15"/>
        <v>250</v>
      </c>
      <c r="P35" s="3">
        <f>+P34</f>
        <v>19.016809916366149</v>
      </c>
      <c r="Q35" s="3">
        <f>+Q34</f>
        <v>0.45533305401552804</v>
      </c>
      <c r="R35" s="3">
        <f t="shared" si="14"/>
        <v>18.221429243051841</v>
      </c>
    </row>
    <row r="36" spans="2:19" x14ac:dyDescent="0.3">
      <c r="B36" s="2">
        <f t="shared" si="7"/>
        <v>2029</v>
      </c>
      <c r="C36" s="3">
        <f t="shared" si="8"/>
        <v>20.117285254936469</v>
      </c>
      <c r="D36" s="3">
        <f t="shared" si="9"/>
        <v>20.117285254936469</v>
      </c>
      <c r="E36" s="3">
        <f t="shared" si="10"/>
        <v>0.44097326614202165</v>
      </c>
      <c r="F36" s="3">
        <f t="shared" si="11"/>
        <v>235.4</v>
      </c>
      <c r="G36" s="39">
        <f t="shared" si="12"/>
        <v>21.300404764841964</v>
      </c>
      <c r="H36" s="39">
        <f t="shared" si="5"/>
        <v>-1.1831195099054952</v>
      </c>
      <c r="K36" s="12">
        <v>7</v>
      </c>
      <c r="L36" s="2">
        <f t="shared" si="13"/>
        <v>2029</v>
      </c>
      <c r="M36" s="3">
        <f t="shared" si="6"/>
        <v>1.1831195099054952</v>
      </c>
      <c r="N36" s="4">
        <f>+F25</f>
        <v>125.48</v>
      </c>
      <c r="O36" s="4">
        <f>+'[17]Colector Balmaceda (c_Proy)'!$E$70</f>
        <v>250</v>
      </c>
      <c r="P36" s="3">
        <f>+'[17]Colector Balmaceda (c_Proy)'!$AL$70</f>
        <v>19.016809916366149</v>
      </c>
      <c r="Q36" s="3">
        <f>+P36/(0.25*PI()*($S$36/1000)^2)/1000</f>
        <v>0.45533305401552804</v>
      </c>
      <c r="R36" s="3">
        <f t="shared" ref="R36:R41" si="16">+P36-M36</f>
        <v>17.833690406460654</v>
      </c>
      <c r="S36" s="12">
        <f>+'[17]Colector Balmaceda (c_Proy)'!$F$70</f>
        <v>230.6</v>
      </c>
    </row>
    <row r="37" spans="2:19" x14ac:dyDescent="0.3">
      <c r="B37" s="2">
        <f t="shared" si="7"/>
        <v>2030</v>
      </c>
      <c r="C37" s="3">
        <f t="shared" si="8"/>
        <v>20.117285254936469</v>
      </c>
      <c r="D37" s="3">
        <f t="shared" si="9"/>
        <v>20.117285254936469</v>
      </c>
      <c r="E37" s="3">
        <f t="shared" si="10"/>
        <v>0.44097326614202165</v>
      </c>
      <c r="F37" s="3">
        <f t="shared" si="11"/>
        <v>235.4</v>
      </c>
      <c r="G37" s="39">
        <f t="shared" si="12"/>
        <v>21.692487830985733</v>
      </c>
      <c r="H37" s="39">
        <f t="shared" si="5"/>
        <v>-1.5752025760492643</v>
      </c>
      <c r="K37" s="12">
        <v>8</v>
      </c>
      <c r="L37" s="2">
        <f t="shared" si="13"/>
        <v>2030</v>
      </c>
      <c r="M37" s="3">
        <f t="shared" si="6"/>
        <v>1.5752025760492643</v>
      </c>
      <c r="N37" s="4">
        <f>+N36</f>
        <v>125.48</v>
      </c>
      <c r="O37" s="4">
        <f>+O36</f>
        <v>250</v>
      </c>
      <c r="P37" s="3">
        <f>+P36</f>
        <v>19.016809916366149</v>
      </c>
      <c r="Q37" s="3">
        <f t="shared" ref="Q37:Q44" si="17">+P37/(0.25*PI()*($S$36/1000)^2)/1000</f>
        <v>0.45533305401552804</v>
      </c>
      <c r="R37" s="3">
        <f t="shared" si="16"/>
        <v>17.441607340316885</v>
      </c>
    </row>
    <row r="38" spans="2:19" x14ac:dyDescent="0.3">
      <c r="B38" s="2">
        <f t="shared" si="7"/>
        <v>2031</v>
      </c>
      <c r="C38" s="3">
        <f t="shared" si="8"/>
        <v>20.117285254936469</v>
      </c>
      <c r="D38" s="3">
        <f t="shared" si="9"/>
        <v>20.117285254936469</v>
      </c>
      <c r="E38" s="3">
        <f t="shared" si="10"/>
        <v>0.44097326614202165</v>
      </c>
      <c r="F38" s="3">
        <f t="shared" si="11"/>
        <v>235.4</v>
      </c>
      <c r="G38" s="39">
        <f t="shared" si="12"/>
        <v>22.088154804797366</v>
      </c>
      <c r="H38" s="39">
        <f t="shared" si="5"/>
        <v>-1.9708695498608968</v>
      </c>
      <c r="K38" s="12">
        <v>9</v>
      </c>
      <c r="L38" s="2">
        <f t="shared" si="13"/>
        <v>2031</v>
      </c>
      <c r="M38" s="3">
        <f t="shared" si="6"/>
        <v>1.9708695498608968</v>
      </c>
      <c r="N38" s="4">
        <f t="shared" ref="N38:N44" si="18">+N37</f>
        <v>125.48</v>
      </c>
      <c r="O38" s="4">
        <f t="shared" ref="O38:O43" si="19">+O37</f>
        <v>250</v>
      </c>
      <c r="P38" s="3">
        <f t="shared" ref="P38:P44" si="20">+P37</f>
        <v>19.016809916366149</v>
      </c>
      <c r="Q38" s="3">
        <f t="shared" si="17"/>
        <v>0.45533305401552804</v>
      </c>
      <c r="R38" s="3">
        <f t="shared" si="16"/>
        <v>17.045940366505253</v>
      </c>
    </row>
    <row r="39" spans="2:19" x14ac:dyDescent="0.3">
      <c r="B39" s="2">
        <f t="shared" si="7"/>
        <v>2032</v>
      </c>
      <c r="C39" s="3">
        <f t="shared" si="8"/>
        <v>20.117285254936469</v>
      </c>
      <c r="D39" s="3">
        <f t="shared" si="9"/>
        <v>20.117285254936469</v>
      </c>
      <c r="E39" s="3">
        <f t="shared" si="10"/>
        <v>0.44097326614202165</v>
      </c>
      <c r="F39" s="3">
        <f t="shared" si="11"/>
        <v>235.4</v>
      </c>
      <c r="G39" s="39">
        <f t="shared" si="12"/>
        <v>22.488943302805747</v>
      </c>
      <c r="H39" s="39">
        <f t="shared" si="5"/>
        <v>-2.3716580478692784</v>
      </c>
      <c r="K39" s="12">
        <v>10</v>
      </c>
      <c r="L39" s="2">
        <f t="shared" si="13"/>
        <v>2032</v>
      </c>
      <c r="M39" s="3">
        <f t="shared" si="6"/>
        <v>2.3716580478692784</v>
      </c>
      <c r="N39" s="4">
        <f t="shared" si="18"/>
        <v>125.48</v>
      </c>
      <c r="O39" s="4">
        <f t="shared" si="19"/>
        <v>250</v>
      </c>
      <c r="P39" s="3">
        <f t="shared" si="20"/>
        <v>19.016809916366149</v>
      </c>
      <c r="Q39" s="3">
        <f t="shared" si="17"/>
        <v>0.45533305401552804</v>
      </c>
      <c r="R39" s="3">
        <f t="shared" si="16"/>
        <v>16.645151868496871</v>
      </c>
    </row>
    <row r="40" spans="2:19" x14ac:dyDescent="0.3">
      <c r="B40" s="2">
        <f t="shared" si="7"/>
        <v>2033</v>
      </c>
      <c r="C40" s="3">
        <f t="shared" si="8"/>
        <v>20.117285254936469</v>
      </c>
      <c r="D40" s="3">
        <f t="shared" si="9"/>
        <v>20.117285254936469</v>
      </c>
      <c r="E40" s="3">
        <f t="shared" si="10"/>
        <v>0.44097326614202165</v>
      </c>
      <c r="F40" s="3">
        <f t="shared" si="11"/>
        <v>235.4</v>
      </c>
      <c r="G40" s="39">
        <f t="shared" si="12"/>
        <v>22.890949668888382</v>
      </c>
      <c r="H40" s="39">
        <f t="shared" si="5"/>
        <v>-2.7736644139519129</v>
      </c>
      <c r="K40" s="12">
        <v>11</v>
      </c>
      <c r="L40" s="2">
        <f t="shared" si="13"/>
        <v>2033</v>
      </c>
      <c r="M40" s="3">
        <f t="shared" si="6"/>
        <v>2.7736644139519129</v>
      </c>
      <c r="N40" s="4">
        <f t="shared" si="18"/>
        <v>125.48</v>
      </c>
      <c r="O40" s="4">
        <f t="shared" si="19"/>
        <v>250</v>
      </c>
      <c r="P40" s="3">
        <f t="shared" si="20"/>
        <v>19.016809916366149</v>
      </c>
      <c r="Q40" s="3">
        <f t="shared" si="17"/>
        <v>0.45533305401552804</v>
      </c>
      <c r="R40" s="3">
        <f t="shared" si="16"/>
        <v>16.243145502414237</v>
      </c>
    </row>
    <row r="41" spans="2:19" x14ac:dyDescent="0.3">
      <c r="B41" s="2">
        <f t="shared" si="7"/>
        <v>2034</v>
      </c>
      <c r="C41" s="3">
        <f t="shared" si="8"/>
        <v>20.117285254936469</v>
      </c>
      <c r="D41" s="3">
        <f t="shared" si="9"/>
        <v>20.117285254936469</v>
      </c>
      <c r="E41" s="3">
        <f t="shared" si="10"/>
        <v>0.44097326614202165</v>
      </c>
      <c r="F41" s="3">
        <f t="shared" si="11"/>
        <v>235.4</v>
      </c>
      <c r="G41" s="39">
        <f t="shared" si="12"/>
        <v>23.29735629210121</v>
      </c>
      <c r="H41" s="39">
        <f t="shared" si="5"/>
        <v>-3.1800710371647405</v>
      </c>
      <c r="K41" s="12">
        <v>12</v>
      </c>
      <c r="L41" s="2">
        <f t="shared" si="13"/>
        <v>2034</v>
      </c>
      <c r="M41" s="3">
        <f t="shared" si="6"/>
        <v>3.1800710371647405</v>
      </c>
      <c r="N41" s="4">
        <f t="shared" si="18"/>
        <v>125.48</v>
      </c>
      <c r="O41" s="4">
        <f t="shared" si="19"/>
        <v>250</v>
      </c>
      <c r="P41" s="3">
        <f t="shared" si="20"/>
        <v>19.016809916366149</v>
      </c>
      <c r="Q41" s="3">
        <f t="shared" si="17"/>
        <v>0.45533305401552804</v>
      </c>
      <c r="R41" s="3">
        <f t="shared" si="16"/>
        <v>15.836738879201409</v>
      </c>
    </row>
    <row r="42" spans="2:19" x14ac:dyDescent="0.3">
      <c r="B42" s="2">
        <f t="shared" si="7"/>
        <v>2035</v>
      </c>
      <c r="C42" s="3">
        <f t="shared" si="8"/>
        <v>20.117285254936469</v>
      </c>
      <c r="D42" s="3">
        <f t="shared" si="9"/>
        <v>20.117285254936469</v>
      </c>
      <c r="E42" s="3">
        <f t="shared" si="10"/>
        <v>0.44097326614202165</v>
      </c>
      <c r="F42" s="3">
        <f t="shared" si="11"/>
        <v>235.4</v>
      </c>
      <c r="G42" s="39">
        <f t="shared" si="12"/>
        <v>23.707294384922555</v>
      </c>
      <c r="H42" s="39">
        <f t="shared" si="5"/>
        <v>-3.5900091299860861</v>
      </c>
      <c r="K42" s="12">
        <v>13</v>
      </c>
      <c r="L42" s="2">
        <f t="shared" si="13"/>
        <v>2035</v>
      </c>
      <c r="M42" s="3">
        <f t="shared" si="6"/>
        <v>3.5900091299860861</v>
      </c>
      <c r="N42" s="4">
        <f t="shared" si="18"/>
        <v>125.48</v>
      </c>
      <c r="O42" s="4">
        <f t="shared" si="19"/>
        <v>250</v>
      </c>
      <c r="P42" s="3">
        <f t="shared" si="20"/>
        <v>19.016809916366149</v>
      </c>
      <c r="Q42" s="3">
        <f t="shared" si="17"/>
        <v>0.45533305401552804</v>
      </c>
      <c r="R42" s="3">
        <f>+P42-M42</f>
        <v>15.426800786380063</v>
      </c>
    </row>
    <row r="43" spans="2:19" x14ac:dyDescent="0.3">
      <c r="B43" s="2">
        <f t="shared" si="7"/>
        <v>2036</v>
      </c>
      <c r="C43" s="3">
        <f t="shared" si="8"/>
        <v>20.117285254936469</v>
      </c>
      <c r="D43" s="3">
        <f t="shared" si="9"/>
        <v>20.117285254936469</v>
      </c>
      <c r="E43" s="3">
        <f t="shared" si="10"/>
        <v>0.44097326614202165</v>
      </c>
      <c r="F43" s="3">
        <f t="shared" si="11"/>
        <v>235.4</v>
      </c>
      <c r="G43" s="39">
        <f t="shared" si="12"/>
        <v>24.122415375004216</v>
      </c>
      <c r="H43" s="39">
        <f t="shared" si="5"/>
        <v>-4.0051301200677472</v>
      </c>
      <c r="K43" s="12">
        <v>14</v>
      </c>
      <c r="L43" s="2">
        <f t="shared" si="13"/>
        <v>2036</v>
      </c>
      <c r="M43" s="3">
        <f t="shared" si="6"/>
        <v>4.0051301200677472</v>
      </c>
      <c r="N43" s="4">
        <f t="shared" si="18"/>
        <v>125.48</v>
      </c>
      <c r="O43" s="4">
        <f t="shared" si="19"/>
        <v>250</v>
      </c>
      <c r="P43" s="3">
        <f t="shared" si="20"/>
        <v>19.016809916366149</v>
      </c>
      <c r="Q43" s="3">
        <f t="shared" si="17"/>
        <v>0.45533305401552804</v>
      </c>
      <c r="R43" s="3">
        <f>+P43-M43</f>
        <v>15.011679796298402</v>
      </c>
    </row>
    <row r="44" spans="2:19" x14ac:dyDescent="0.3">
      <c r="B44" s="2">
        <f t="shared" si="7"/>
        <v>2037</v>
      </c>
      <c r="C44" s="3">
        <f t="shared" si="8"/>
        <v>20.117285254936469</v>
      </c>
      <c r="D44" s="3">
        <f t="shared" si="9"/>
        <v>20.117285254936469</v>
      </c>
      <c r="E44" s="3">
        <f t="shared" si="10"/>
        <v>0.44097326614202165</v>
      </c>
      <c r="F44" s="3">
        <f t="shared" si="11"/>
        <v>235.4</v>
      </c>
      <c r="G44" s="39">
        <f t="shared" si="12"/>
        <v>24.53861728730363</v>
      </c>
      <c r="H44" s="39">
        <f t="shared" si="5"/>
        <v>-4.421332032367161</v>
      </c>
      <c r="I44" s="13"/>
      <c r="K44" s="12">
        <v>15</v>
      </c>
      <c r="L44" s="2">
        <f t="shared" si="13"/>
        <v>2037</v>
      </c>
      <c r="M44" s="3">
        <f t="shared" si="6"/>
        <v>4.421332032367161</v>
      </c>
      <c r="N44" s="4">
        <f t="shared" si="18"/>
        <v>125.48</v>
      </c>
      <c r="O44" s="4">
        <f t="shared" ref="O44" si="21">+O43</f>
        <v>250</v>
      </c>
      <c r="P44" s="3">
        <f t="shared" si="20"/>
        <v>19.016809916366149</v>
      </c>
      <c r="Q44" s="3">
        <f t="shared" si="17"/>
        <v>0.45533305401552804</v>
      </c>
      <c r="R44" s="3">
        <f>+P44-M44</f>
        <v>14.595477883998988</v>
      </c>
    </row>
    <row r="49" spans="2:8" x14ac:dyDescent="0.3">
      <c r="B49" s="5" t="s">
        <v>29</v>
      </c>
      <c r="E49" s="6" t="s">
        <v>7</v>
      </c>
      <c r="F49" s="7">
        <f>+SUM('[17]Colector Balmaceda'!$M$32:$M$36)</f>
        <v>330.83</v>
      </c>
      <c r="G49" s="8" t="s">
        <v>8</v>
      </c>
    </row>
    <row r="50" spans="2:8" x14ac:dyDescent="0.3">
      <c r="B50" s="8" t="s">
        <v>73</v>
      </c>
    </row>
    <row r="51" spans="2:8" x14ac:dyDescent="0.3">
      <c r="B51" s="96" t="s">
        <v>0</v>
      </c>
      <c r="C51" s="96" t="s">
        <v>20</v>
      </c>
      <c r="D51" s="96" t="s">
        <v>1</v>
      </c>
      <c r="E51" s="96"/>
      <c r="F51" s="96"/>
      <c r="G51" s="96" t="s">
        <v>21</v>
      </c>
      <c r="H51" s="96" t="s">
        <v>2</v>
      </c>
    </row>
    <row r="52" spans="2:8" x14ac:dyDescent="0.3">
      <c r="B52" s="96"/>
      <c r="C52" s="96"/>
      <c r="D52" s="18" t="s">
        <v>3</v>
      </c>
      <c r="E52" s="18" t="s">
        <v>4</v>
      </c>
      <c r="F52" s="18" t="s">
        <v>5</v>
      </c>
      <c r="G52" s="96"/>
      <c r="H52" s="96"/>
    </row>
    <row r="53" spans="2:8" x14ac:dyDescent="0.3">
      <c r="B53" s="2">
        <f>+B29</f>
        <v>2022</v>
      </c>
      <c r="C53" s="3">
        <f>+SUMPRODUCT('[17]Colector Balmaceda'!$AL$32:$AL$36,'[17]Colector Balmaceda'!$M$32:$M$36)/F49</f>
        <v>37.843501480357006</v>
      </c>
      <c r="D53" s="3">
        <f>+C53</f>
        <v>37.843501480357006</v>
      </c>
      <c r="E53" s="3">
        <f>D53/(0.25*PI()*(F53/1000)^2)/1000</f>
        <v>0.86953789670241133</v>
      </c>
      <c r="F53" s="3">
        <f>+SUMPRODUCT('[17]Colector Balmaceda'!$F$32:$F$36,'[17]Colector Balmaceda'!$M$32:$M$36)/F49</f>
        <v>235.40000000000006</v>
      </c>
      <c r="G53" s="3">
        <f>+'[2]Colector Balmaceda'!$AB$36</f>
        <v>25.063557275634345</v>
      </c>
      <c r="H53" s="3">
        <f t="shared" ref="H53:H68" si="22">+D53-G53</f>
        <v>12.779944204722661</v>
      </c>
    </row>
    <row r="54" spans="2:8" x14ac:dyDescent="0.3">
      <c r="B54" s="2">
        <f t="shared" ref="B54:B68" si="23">+B53+1</f>
        <v>2023</v>
      </c>
      <c r="C54" s="3">
        <f t="shared" ref="C54:D68" si="24">+C53</f>
        <v>37.843501480357006</v>
      </c>
      <c r="D54" s="3">
        <f>+D53</f>
        <v>37.843501480357006</v>
      </c>
      <c r="E54" s="3">
        <f>+E53</f>
        <v>0.86953789670241133</v>
      </c>
      <c r="F54" s="3">
        <f>+F53</f>
        <v>235.40000000000006</v>
      </c>
      <c r="G54" s="3">
        <f>+'[3]Colector Balmaceda'!$AB$36</f>
        <v>25.750464203441357</v>
      </c>
      <c r="H54" s="3">
        <f t="shared" si="22"/>
        <v>12.093037276915648</v>
      </c>
    </row>
    <row r="55" spans="2:8" x14ac:dyDescent="0.3">
      <c r="B55" s="2">
        <f t="shared" si="23"/>
        <v>2024</v>
      </c>
      <c r="C55" s="3">
        <f t="shared" si="24"/>
        <v>37.843501480357006</v>
      </c>
      <c r="D55" s="3">
        <f t="shared" si="24"/>
        <v>37.843501480357006</v>
      </c>
      <c r="E55" s="3">
        <f t="shared" ref="E55:E68" si="25">+E54</f>
        <v>0.86953789670241133</v>
      </c>
      <c r="F55" s="3">
        <f t="shared" ref="F55:F68" si="26">+F54</f>
        <v>235.40000000000006</v>
      </c>
      <c r="G55" s="3">
        <f>+'[4]Colector Balmaceda'!$AB$36</f>
        <v>26.183507628576223</v>
      </c>
      <c r="H55" s="3">
        <f t="shared" si="22"/>
        <v>11.659993851780783</v>
      </c>
    </row>
    <row r="56" spans="2:8" x14ac:dyDescent="0.3">
      <c r="B56" s="2">
        <f t="shared" si="23"/>
        <v>2025</v>
      </c>
      <c r="C56" s="3">
        <f t="shared" si="24"/>
        <v>37.843501480357006</v>
      </c>
      <c r="D56" s="3">
        <f t="shared" si="24"/>
        <v>37.843501480357006</v>
      </c>
      <c r="E56" s="3">
        <f t="shared" si="25"/>
        <v>0.86953789670241133</v>
      </c>
      <c r="F56" s="3">
        <f t="shared" si="26"/>
        <v>235.40000000000006</v>
      </c>
      <c r="G56" s="3">
        <f>+'[5]Colector Balmaceda'!$AB$36</f>
        <v>26.61836840908121</v>
      </c>
      <c r="H56" s="3">
        <f t="shared" si="22"/>
        <v>11.225133071275796</v>
      </c>
    </row>
    <row r="57" spans="2:8" x14ac:dyDescent="0.3">
      <c r="B57" s="2">
        <f t="shared" si="23"/>
        <v>2026</v>
      </c>
      <c r="C57" s="3">
        <f t="shared" si="24"/>
        <v>37.843501480357006</v>
      </c>
      <c r="D57" s="3">
        <f t="shared" si="24"/>
        <v>37.843501480357006</v>
      </c>
      <c r="E57" s="3">
        <f t="shared" si="25"/>
        <v>0.86953789670241133</v>
      </c>
      <c r="F57" s="3">
        <f t="shared" si="26"/>
        <v>235.40000000000006</v>
      </c>
      <c r="G57" s="3">
        <f>+'[6]Colector Balmaceda'!$AB$36</f>
        <v>27.058326034859324</v>
      </c>
      <c r="H57" s="3">
        <f t="shared" si="22"/>
        <v>10.785175445497682</v>
      </c>
    </row>
    <row r="58" spans="2:8" x14ac:dyDescent="0.3">
      <c r="B58" s="2">
        <f t="shared" si="23"/>
        <v>2027</v>
      </c>
      <c r="C58" s="3">
        <f t="shared" si="24"/>
        <v>37.843501480357006</v>
      </c>
      <c r="D58" s="3">
        <f t="shared" si="24"/>
        <v>37.843501480357006</v>
      </c>
      <c r="E58" s="3">
        <f t="shared" si="25"/>
        <v>0.86953789670241133</v>
      </c>
      <c r="F58" s="3">
        <f t="shared" si="26"/>
        <v>235.40000000000006</v>
      </c>
      <c r="G58" s="3">
        <f>+'[7]Colector Balmaceda'!$AB$36</f>
        <v>27.805303182404771</v>
      </c>
      <c r="H58" s="3">
        <f t="shared" si="22"/>
        <v>10.038198297952235</v>
      </c>
    </row>
    <row r="59" spans="2:8" x14ac:dyDescent="0.3">
      <c r="B59" s="2">
        <f t="shared" si="23"/>
        <v>2028</v>
      </c>
      <c r="C59" s="3">
        <f t="shared" si="24"/>
        <v>37.843501480357006</v>
      </c>
      <c r="D59" s="3">
        <f t="shared" si="24"/>
        <v>37.843501480357006</v>
      </c>
      <c r="E59" s="3">
        <f t="shared" si="25"/>
        <v>0.86953789670241133</v>
      </c>
      <c r="F59" s="3">
        <f t="shared" si="26"/>
        <v>235.40000000000006</v>
      </c>
      <c r="G59" s="3">
        <f>+'[8]Colector Balmaceda'!$AB$36</f>
        <v>28.334001179739076</v>
      </c>
      <c r="H59" s="3">
        <f t="shared" si="22"/>
        <v>9.5095003006179297</v>
      </c>
    </row>
    <row r="60" spans="2:8" x14ac:dyDescent="0.3">
      <c r="B60" s="2">
        <f t="shared" si="23"/>
        <v>2029</v>
      </c>
      <c r="C60" s="3">
        <f t="shared" si="24"/>
        <v>37.843501480357006</v>
      </c>
      <c r="D60" s="3">
        <f t="shared" si="24"/>
        <v>37.843501480357006</v>
      </c>
      <c r="E60" s="3">
        <f t="shared" si="25"/>
        <v>0.86953789670241133</v>
      </c>
      <c r="F60" s="3">
        <f t="shared" si="26"/>
        <v>235.40000000000006</v>
      </c>
      <c r="G60" s="3">
        <f>+'[9]Colector Balmaceda'!$AB$36</f>
        <v>28.864811127273395</v>
      </c>
      <c r="H60" s="3">
        <f t="shared" si="22"/>
        <v>8.9786903530836106</v>
      </c>
    </row>
    <row r="61" spans="2:8" x14ac:dyDescent="0.3">
      <c r="B61" s="2">
        <f t="shared" si="23"/>
        <v>2030</v>
      </c>
      <c r="C61" s="3">
        <f t="shared" si="24"/>
        <v>37.843501480357006</v>
      </c>
      <c r="D61" s="3">
        <f t="shared" si="24"/>
        <v>37.843501480357006</v>
      </c>
      <c r="E61" s="3">
        <f t="shared" si="25"/>
        <v>0.86953789670241133</v>
      </c>
      <c r="F61" s="3">
        <f t="shared" si="26"/>
        <v>235.40000000000006</v>
      </c>
      <c r="G61" s="3">
        <f>+'[10]Colector Balmaceda'!$AB$36</f>
        <v>29.401915621300198</v>
      </c>
      <c r="H61" s="3">
        <f t="shared" si="22"/>
        <v>8.4415858590568078</v>
      </c>
    </row>
    <row r="62" spans="2:8" x14ac:dyDescent="0.3">
      <c r="B62" s="2">
        <f t="shared" si="23"/>
        <v>2031</v>
      </c>
      <c r="C62" s="3">
        <f t="shared" si="24"/>
        <v>37.843501480357006</v>
      </c>
      <c r="D62" s="3">
        <f t="shared" si="24"/>
        <v>37.843501480357006</v>
      </c>
      <c r="E62" s="3">
        <f t="shared" si="25"/>
        <v>0.86953789670241133</v>
      </c>
      <c r="F62" s="3">
        <f t="shared" si="26"/>
        <v>235.40000000000006</v>
      </c>
      <c r="G62" s="3">
        <f>+'[11]Colector Balmaceda'!$AB$36</f>
        <v>29.944226230728248</v>
      </c>
      <c r="H62" s="3">
        <f t="shared" si="22"/>
        <v>7.8992752496287579</v>
      </c>
    </row>
    <row r="63" spans="2:8" x14ac:dyDescent="0.3">
      <c r="B63" s="2">
        <f t="shared" si="23"/>
        <v>2032</v>
      </c>
      <c r="C63" s="3">
        <f t="shared" si="24"/>
        <v>37.843501480357006</v>
      </c>
      <c r="D63" s="3">
        <f t="shared" si="24"/>
        <v>37.843501480357006</v>
      </c>
      <c r="E63" s="3">
        <f t="shared" si="25"/>
        <v>0.86953789670241133</v>
      </c>
      <c r="F63" s="3">
        <f t="shared" si="26"/>
        <v>235.40000000000006</v>
      </c>
      <c r="G63" s="3">
        <f>+'[12]Colector Balmaceda'!$AB$36</f>
        <v>30.493953803066191</v>
      </c>
      <c r="H63" s="3">
        <f t="shared" si="22"/>
        <v>7.3495476772908148</v>
      </c>
    </row>
    <row r="64" spans="2:8" x14ac:dyDescent="0.3">
      <c r="B64" s="2">
        <f t="shared" si="23"/>
        <v>2033</v>
      </c>
      <c r="C64" s="3">
        <f t="shared" si="24"/>
        <v>37.843501480357006</v>
      </c>
      <c r="D64" s="3">
        <f t="shared" si="24"/>
        <v>37.843501480357006</v>
      </c>
      <c r="E64" s="3">
        <f t="shared" si="25"/>
        <v>0.86953789670241133</v>
      </c>
      <c r="F64" s="3">
        <f t="shared" si="26"/>
        <v>235.40000000000006</v>
      </c>
      <c r="G64" s="3">
        <f>+'[13]Colector Balmaceda'!$AB$36</f>
        <v>31.045472332181685</v>
      </c>
      <c r="H64" s="3">
        <f t="shared" si="22"/>
        <v>6.7980291481753206</v>
      </c>
    </row>
    <row r="65" spans="2:8" x14ac:dyDescent="0.3">
      <c r="B65" s="2">
        <f t="shared" si="23"/>
        <v>2034</v>
      </c>
      <c r="C65" s="3">
        <f t="shared" si="24"/>
        <v>37.843501480357006</v>
      </c>
      <c r="D65" s="3">
        <f t="shared" si="24"/>
        <v>37.843501480357006</v>
      </c>
      <c r="E65" s="3">
        <f t="shared" si="25"/>
        <v>0.86953789670241133</v>
      </c>
      <c r="F65" s="3">
        <f t="shared" si="26"/>
        <v>235.40000000000006</v>
      </c>
      <c r="G65" s="3">
        <f>+'[14]Colector Balmaceda'!$AB$36</f>
        <v>31.603422333162293</v>
      </c>
      <c r="H65" s="3">
        <f t="shared" si="22"/>
        <v>6.240079147194713</v>
      </c>
    </row>
    <row r="66" spans="2:8" x14ac:dyDescent="0.3">
      <c r="B66" s="2">
        <f t="shared" si="23"/>
        <v>2035</v>
      </c>
      <c r="C66" s="3">
        <f t="shared" si="24"/>
        <v>37.843501480357006</v>
      </c>
      <c r="D66" s="3">
        <f t="shared" si="24"/>
        <v>37.843501480357006</v>
      </c>
      <c r="E66" s="3">
        <f t="shared" si="25"/>
        <v>0.86953789670241133</v>
      </c>
      <c r="F66" s="3">
        <f t="shared" si="26"/>
        <v>235.40000000000006</v>
      </c>
      <c r="G66" s="3">
        <f>+'[15]Colector Balmaceda'!$AB$36</f>
        <v>32.166468436922742</v>
      </c>
      <c r="H66" s="3">
        <f t="shared" si="22"/>
        <v>5.677033043434264</v>
      </c>
    </row>
    <row r="67" spans="2:8" x14ac:dyDescent="0.3">
      <c r="B67" s="2">
        <f t="shared" si="23"/>
        <v>2036</v>
      </c>
      <c r="C67" s="3">
        <f t="shared" si="24"/>
        <v>37.843501480357006</v>
      </c>
      <c r="D67" s="3">
        <f t="shared" si="24"/>
        <v>37.843501480357006</v>
      </c>
      <c r="E67" s="3">
        <f t="shared" si="25"/>
        <v>0.86953789670241133</v>
      </c>
      <c r="F67" s="3">
        <f t="shared" si="26"/>
        <v>235.40000000000006</v>
      </c>
      <c r="G67" s="3">
        <f>+'[16]Colector Balmaceda'!$AB$36</f>
        <v>32.737054334656705</v>
      </c>
      <c r="H67" s="3">
        <f t="shared" si="22"/>
        <v>5.1064471457003009</v>
      </c>
    </row>
    <row r="68" spans="2:8" x14ac:dyDescent="0.3">
      <c r="B68" s="2">
        <f t="shared" si="23"/>
        <v>2037</v>
      </c>
      <c r="C68" s="3">
        <f t="shared" si="24"/>
        <v>37.843501480357006</v>
      </c>
      <c r="D68" s="3">
        <f t="shared" si="24"/>
        <v>37.843501480357006</v>
      </c>
      <c r="E68" s="3">
        <f t="shared" si="25"/>
        <v>0.86953789670241133</v>
      </c>
      <c r="F68" s="3">
        <f t="shared" si="26"/>
        <v>235.40000000000006</v>
      </c>
      <c r="G68" s="3">
        <f>+'[17]Colector Balmaceda'!$AB$36</f>
        <v>32.483609772960754</v>
      </c>
      <c r="H68" s="3">
        <f t="shared" si="22"/>
        <v>5.3598917073962511</v>
      </c>
    </row>
  </sheetData>
  <mergeCells count="19">
    <mergeCell ref="B4:B5"/>
    <mergeCell ref="C4:C5"/>
    <mergeCell ref="D4:F4"/>
    <mergeCell ref="G4:G5"/>
    <mergeCell ref="H4:H5"/>
    <mergeCell ref="L27:L28"/>
    <mergeCell ref="M27:M28"/>
    <mergeCell ref="N27:Q27"/>
    <mergeCell ref="R27:R28"/>
    <mergeCell ref="B51:B52"/>
    <mergeCell ref="C51:C52"/>
    <mergeCell ref="D51:F51"/>
    <mergeCell ref="G51:G52"/>
    <mergeCell ref="H51:H52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FF00"/>
  </sheetPr>
  <dimension ref="A2:M45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22</v>
      </c>
      <c r="E2" s="6" t="s">
        <v>7</v>
      </c>
      <c r="F2" s="41">
        <v>140.51</v>
      </c>
      <c r="G2" s="8" t="s">
        <v>8</v>
      </c>
    </row>
    <row r="4" spans="1:12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</row>
    <row r="5" spans="1:12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9"/>
    </row>
    <row r="6" spans="1:12" x14ac:dyDescent="0.3">
      <c r="A6" s="12" t="s">
        <v>6</v>
      </c>
      <c r="B6" s="36">
        <v>2022</v>
      </c>
      <c r="C6" s="3">
        <f>+MIN('[17]Colector Guacamayo'!$AL$17:$AL$18)</f>
        <v>87.937343031004588</v>
      </c>
      <c r="D6" s="3">
        <f t="shared" ref="D6:D21" si="0">+C6</f>
        <v>87.937343031004588</v>
      </c>
      <c r="E6" s="3">
        <f>D6/(0.25*PI()*(F6/1000)^2)/1000</f>
        <v>1.0036690326474247</v>
      </c>
      <c r="F6" s="3">
        <f>+SUMPRODUCT('[17]Colector Guacamayo'!$F$17:$F$18,'[17]Colector Guacamayo'!$M$17:$M$18)/SUM('[17]Colector Guacamayo'!$M$17:$M$18)</f>
        <v>334</v>
      </c>
      <c r="G6" s="3">
        <f>+'[2]Colector Guacamayo'!$AB$18</f>
        <v>8.2659394245779652</v>
      </c>
      <c r="H6" s="3">
        <f t="shared" ref="H6:H21" si="1">+D6-G6</f>
        <v>79.671403606426622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87.937343031004588</v>
      </c>
      <c r="D7" s="3">
        <f t="shared" si="0"/>
        <v>87.937343031004588</v>
      </c>
      <c r="E7" s="3">
        <f t="shared" ref="E7:F21" si="4">+E6</f>
        <v>1.0036690326474247</v>
      </c>
      <c r="F7" s="3">
        <f t="shared" si="4"/>
        <v>334</v>
      </c>
      <c r="G7" s="3">
        <f>+'[3]Colector Guacamayo'!$AB$18</f>
        <v>8.5217169003554094</v>
      </c>
      <c r="H7" s="3">
        <f t="shared" si="1"/>
        <v>79.415626130649173</v>
      </c>
      <c r="L7" s="9"/>
    </row>
    <row r="8" spans="1:12" x14ac:dyDescent="0.3">
      <c r="B8" s="2">
        <f t="shared" si="2"/>
        <v>2024</v>
      </c>
      <c r="C8" s="3">
        <f t="shared" si="3"/>
        <v>87.937343031004588</v>
      </c>
      <c r="D8" s="3">
        <f t="shared" si="0"/>
        <v>87.937343031004588</v>
      </c>
      <c r="E8" s="3">
        <f t="shared" si="4"/>
        <v>1.0036690326474247</v>
      </c>
      <c r="F8" s="3">
        <f t="shared" si="4"/>
        <v>334</v>
      </c>
      <c r="G8" s="3">
        <f>+'[4]Colector Guacamayo'!$AB$18</f>
        <v>8.7136533985896474</v>
      </c>
      <c r="H8" s="3">
        <f t="shared" si="1"/>
        <v>79.223689632414946</v>
      </c>
      <c r="L8" s="9"/>
    </row>
    <row r="9" spans="1:12" x14ac:dyDescent="0.3">
      <c r="B9" s="2">
        <f t="shared" si="2"/>
        <v>2025</v>
      </c>
      <c r="C9" s="3">
        <f t="shared" si="3"/>
        <v>87.937343031004588</v>
      </c>
      <c r="D9" s="3">
        <f t="shared" si="0"/>
        <v>87.937343031004588</v>
      </c>
      <c r="E9" s="3">
        <f t="shared" si="4"/>
        <v>1.0036690326474247</v>
      </c>
      <c r="F9" s="3">
        <f t="shared" si="4"/>
        <v>334</v>
      </c>
      <c r="G9" s="3">
        <f>+'[5]Colector Guacamayo'!$AB$18</f>
        <v>8.9062520665816702</v>
      </c>
      <c r="H9" s="3">
        <f t="shared" si="1"/>
        <v>79.031090964422916</v>
      </c>
      <c r="L9" s="9"/>
    </row>
    <row r="10" spans="1:12" x14ac:dyDescent="0.3">
      <c r="B10" s="2">
        <f t="shared" si="2"/>
        <v>2026</v>
      </c>
      <c r="C10" s="3">
        <f t="shared" si="3"/>
        <v>87.937343031004588</v>
      </c>
      <c r="D10" s="3">
        <f t="shared" si="0"/>
        <v>87.937343031004588</v>
      </c>
      <c r="E10" s="3">
        <f t="shared" si="4"/>
        <v>1.0036690326474247</v>
      </c>
      <c r="F10" s="3">
        <f t="shared" si="4"/>
        <v>334</v>
      </c>
      <c r="G10" s="3">
        <f>+'[6]Colector Guacamayo'!$AB$18</f>
        <v>9.1009330284539089</v>
      </c>
      <c r="H10" s="3">
        <f t="shared" si="1"/>
        <v>78.836410002550679</v>
      </c>
      <c r="L10" s="9"/>
    </row>
    <row r="11" spans="1:12" x14ac:dyDescent="0.3">
      <c r="B11" s="2">
        <f t="shared" si="2"/>
        <v>2027</v>
      </c>
      <c r="C11" s="3">
        <f t="shared" si="3"/>
        <v>87.937343031004588</v>
      </c>
      <c r="D11" s="3">
        <f t="shared" si="0"/>
        <v>87.937343031004588</v>
      </c>
      <c r="E11" s="3">
        <f t="shared" si="4"/>
        <v>1.0036690326474247</v>
      </c>
      <c r="F11" s="3">
        <f t="shared" si="4"/>
        <v>334</v>
      </c>
      <c r="G11" s="3">
        <f>+'[7]Colector Guacamayo'!$AB$18</f>
        <v>9.2973381350009916</v>
      </c>
      <c r="H11" s="3">
        <f t="shared" si="1"/>
        <v>78.640004896003603</v>
      </c>
      <c r="L11" s="9"/>
    </row>
    <row r="12" spans="1:12" x14ac:dyDescent="0.3">
      <c r="B12" s="2">
        <f t="shared" si="2"/>
        <v>2028</v>
      </c>
      <c r="C12" s="3">
        <f t="shared" si="3"/>
        <v>87.937343031004588</v>
      </c>
      <c r="D12" s="3">
        <f t="shared" si="0"/>
        <v>87.937343031004588</v>
      </c>
      <c r="E12" s="3">
        <f t="shared" si="4"/>
        <v>1.0036690326474247</v>
      </c>
      <c r="F12" s="3">
        <f t="shared" si="4"/>
        <v>334</v>
      </c>
      <c r="G12" s="3">
        <f>+'[8]Colector Guacamayo'!$AB$18</f>
        <v>9.4962079794344358</v>
      </c>
      <c r="H12" s="3">
        <f t="shared" si="1"/>
        <v>78.441135051570157</v>
      </c>
      <c r="L12" s="9"/>
    </row>
    <row r="13" spans="1:12" x14ac:dyDescent="0.3">
      <c r="B13" s="2">
        <f t="shared" si="2"/>
        <v>2029</v>
      </c>
      <c r="C13" s="3">
        <f t="shared" si="3"/>
        <v>87.937343031004588</v>
      </c>
      <c r="D13" s="3">
        <f t="shared" si="0"/>
        <v>87.937343031004588</v>
      </c>
      <c r="E13" s="3">
        <f t="shared" si="4"/>
        <v>1.0036690326474247</v>
      </c>
      <c r="F13" s="3">
        <f t="shared" si="4"/>
        <v>334</v>
      </c>
      <c r="G13" s="3">
        <f>+'[9]Colector Guacamayo'!$AB$18</f>
        <v>9.6956716063771218</v>
      </c>
      <c r="H13" s="3">
        <f t="shared" si="1"/>
        <v>78.241671424627469</v>
      </c>
      <c r="L13" s="9"/>
    </row>
    <row r="14" spans="1:12" x14ac:dyDescent="0.3">
      <c r="B14" s="2">
        <f t="shared" si="2"/>
        <v>2030</v>
      </c>
      <c r="C14" s="3">
        <f t="shared" si="3"/>
        <v>87.937343031004588</v>
      </c>
      <c r="D14" s="3">
        <f t="shared" si="0"/>
        <v>87.937343031004588</v>
      </c>
      <c r="E14" s="3">
        <f t="shared" si="4"/>
        <v>1.0036690326474247</v>
      </c>
      <c r="F14" s="3">
        <f t="shared" si="4"/>
        <v>334</v>
      </c>
      <c r="G14" s="3">
        <f>+'[10]Colector Guacamayo'!$AB$18</f>
        <v>9.8972282935125726</v>
      </c>
      <c r="H14" s="3">
        <f t="shared" si="1"/>
        <v>78.040114737492019</v>
      </c>
      <c r="L14" s="9"/>
    </row>
    <row r="15" spans="1:12" x14ac:dyDescent="0.3">
      <c r="B15" s="2">
        <f t="shared" si="2"/>
        <v>2031</v>
      </c>
      <c r="C15" s="3">
        <f t="shared" si="3"/>
        <v>87.937343031004588</v>
      </c>
      <c r="D15" s="3">
        <f t="shared" si="0"/>
        <v>87.937343031004588</v>
      </c>
      <c r="E15" s="3">
        <f t="shared" si="4"/>
        <v>1.0036690326474247</v>
      </c>
      <c r="F15" s="3">
        <f t="shared" si="4"/>
        <v>334</v>
      </c>
      <c r="G15" s="3">
        <f>+'[11]Colector Guacamayo'!$AB$18</f>
        <v>10.100491706078754</v>
      </c>
      <c r="H15" s="3">
        <f t="shared" si="1"/>
        <v>77.836851324925831</v>
      </c>
      <c r="L15" s="9"/>
    </row>
    <row r="16" spans="1:12" x14ac:dyDescent="0.3">
      <c r="B16" s="2">
        <f t="shared" si="2"/>
        <v>2032</v>
      </c>
      <c r="C16" s="3">
        <f t="shared" si="3"/>
        <v>87.937343031004588</v>
      </c>
      <c r="D16" s="3">
        <f t="shared" si="0"/>
        <v>87.937343031004588</v>
      </c>
      <c r="E16" s="3">
        <f t="shared" si="4"/>
        <v>1.0036690326474247</v>
      </c>
      <c r="F16" s="3">
        <f t="shared" si="4"/>
        <v>334</v>
      </c>
      <c r="G16" s="3">
        <f>+'[12]Colector Guacamayo'!$AB$18</f>
        <v>10.306240241695676</v>
      </c>
      <c r="H16" s="3">
        <f t="shared" si="1"/>
        <v>77.631102789308912</v>
      </c>
      <c r="L16" s="9"/>
    </row>
    <row r="17" spans="2:13" x14ac:dyDescent="0.3">
      <c r="B17" s="2">
        <f t="shared" si="2"/>
        <v>2033</v>
      </c>
      <c r="C17" s="3">
        <f t="shared" si="3"/>
        <v>87.937343031004588</v>
      </c>
      <c r="D17" s="3">
        <f t="shared" si="0"/>
        <v>87.937343031004588</v>
      </c>
      <c r="E17" s="3">
        <f t="shared" si="4"/>
        <v>1.0036690326474247</v>
      </c>
      <c r="F17" s="3">
        <f t="shared" si="4"/>
        <v>334</v>
      </c>
      <c r="G17" s="3">
        <f>+'[13]Colector Guacamayo'!$AB$18</f>
        <v>10.512498209427314</v>
      </c>
      <c r="H17" s="3">
        <f t="shared" si="1"/>
        <v>77.424844821577267</v>
      </c>
      <c r="L17" s="9"/>
    </row>
    <row r="18" spans="2:13" x14ac:dyDescent="0.3">
      <c r="B18" s="2">
        <f t="shared" si="2"/>
        <v>2034</v>
      </c>
      <c r="C18" s="3">
        <f t="shared" si="3"/>
        <v>87.937343031004588</v>
      </c>
      <c r="D18" s="3">
        <f t="shared" si="0"/>
        <v>87.937343031004588</v>
      </c>
      <c r="E18" s="3">
        <f t="shared" si="4"/>
        <v>1.0036690326474247</v>
      </c>
      <c r="F18" s="3">
        <f t="shared" si="4"/>
        <v>334</v>
      </c>
      <c r="G18" s="3">
        <f>+'[14]Colector Guacamayo'!$AB$18</f>
        <v>10.720870382364856</v>
      </c>
      <c r="H18" s="3">
        <f t="shared" si="1"/>
        <v>77.216472648639737</v>
      </c>
      <c r="L18" s="9"/>
    </row>
    <row r="19" spans="2:13" x14ac:dyDescent="0.3">
      <c r="B19" s="2">
        <f t="shared" si="2"/>
        <v>2035</v>
      </c>
      <c r="C19" s="3">
        <f t="shared" si="3"/>
        <v>87.937343031004588</v>
      </c>
      <c r="D19" s="3">
        <f t="shared" si="0"/>
        <v>87.937343031004588</v>
      </c>
      <c r="E19" s="3">
        <f t="shared" si="4"/>
        <v>1.0036690326474247</v>
      </c>
      <c r="F19" s="3">
        <f t="shared" si="4"/>
        <v>334</v>
      </c>
      <c r="G19" s="3">
        <f>+'[15]Colector Guacamayo'!$AB$18</f>
        <v>10.930925488835532</v>
      </c>
      <c r="H19" s="3">
        <f t="shared" si="1"/>
        <v>77.006417542169061</v>
      </c>
      <c r="L19" s="9"/>
    </row>
    <row r="20" spans="2:13" x14ac:dyDescent="0.3">
      <c r="B20" s="2">
        <f t="shared" si="2"/>
        <v>2036</v>
      </c>
      <c r="C20" s="3">
        <f t="shared" si="3"/>
        <v>87.937343031004588</v>
      </c>
      <c r="D20" s="3">
        <f t="shared" si="0"/>
        <v>87.937343031004588</v>
      </c>
      <c r="E20" s="3">
        <f t="shared" si="4"/>
        <v>1.0036690326474247</v>
      </c>
      <c r="F20" s="3">
        <f t="shared" si="4"/>
        <v>334</v>
      </c>
      <c r="G20" s="3">
        <f>+'[16]Colector Guacamayo'!$AB$18</f>
        <v>11.143491262415264</v>
      </c>
      <c r="H20" s="3">
        <f t="shared" si="1"/>
        <v>76.79385176858932</v>
      </c>
      <c r="L20" s="9"/>
    </row>
    <row r="21" spans="2:13" x14ac:dyDescent="0.3">
      <c r="B21" s="2">
        <f t="shared" si="2"/>
        <v>2037</v>
      </c>
      <c r="C21" s="3">
        <f t="shared" si="3"/>
        <v>87.937343031004588</v>
      </c>
      <c r="D21" s="3">
        <f t="shared" si="0"/>
        <v>87.937343031004588</v>
      </c>
      <c r="E21" s="3">
        <f t="shared" si="4"/>
        <v>1.0036690326474247</v>
      </c>
      <c r="F21" s="3">
        <f t="shared" si="4"/>
        <v>334</v>
      </c>
      <c r="G21" s="3">
        <f>+'[17]Colector Guacamayo'!$AB$18</f>
        <v>11.356497493139956</v>
      </c>
      <c r="H21" s="3">
        <f t="shared" si="1"/>
        <v>76.580845537864633</v>
      </c>
      <c r="I21" s="13">
        <f>+G21/G6-1</f>
        <v>0.37389072310069427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  <row r="25" spans="2:13" x14ac:dyDescent="0.3">
      <c r="L25" s="9"/>
    </row>
    <row r="26" spans="2:13" x14ac:dyDescent="0.3">
      <c r="L26" s="9"/>
    </row>
    <row r="27" spans="2:13" x14ac:dyDescent="0.3">
      <c r="L27" s="9"/>
    </row>
    <row r="28" spans="2:13" x14ac:dyDescent="0.3">
      <c r="L28" s="9"/>
    </row>
    <row r="29" spans="2:13" x14ac:dyDescent="0.3">
      <c r="L29" s="9"/>
    </row>
    <row r="30" spans="2:13" x14ac:dyDescent="0.3">
      <c r="L30" s="9"/>
    </row>
    <row r="31" spans="2:13" x14ac:dyDescent="0.3">
      <c r="L31" s="9"/>
    </row>
    <row r="32" spans="2:13" x14ac:dyDescent="0.3">
      <c r="L32" s="9"/>
    </row>
    <row r="33" spans="12:13" x14ac:dyDescent="0.3">
      <c r="L33" s="9"/>
    </row>
    <row r="34" spans="12:13" x14ac:dyDescent="0.3">
      <c r="L34" s="9"/>
    </row>
    <row r="35" spans="12:13" x14ac:dyDescent="0.3">
      <c r="L35" s="9"/>
    </row>
    <row r="36" spans="12:13" x14ac:dyDescent="0.3">
      <c r="L36" s="9"/>
    </row>
    <row r="37" spans="12:13" x14ac:dyDescent="0.3">
      <c r="L37" s="9"/>
    </row>
    <row r="38" spans="12:13" x14ac:dyDescent="0.3">
      <c r="L38" s="9"/>
    </row>
    <row r="39" spans="12:13" x14ac:dyDescent="0.3">
      <c r="L39" s="9"/>
    </row>
    <row r="40" spans="12:13" x14ac:dyDescent="0.3">
      <c r="L40" s="9"/>
    </row>
    <row r="41" spans="12:13" x14ac:dyDescent="0.3">
      <c r="L41" s="10"/>
    </row>
    <row r="42" spans="12:13" x14ac:dyDescent="0.3">
      <c r="L42" s="9"/>
    </row>
    <row r="44" spans="12:13" x14ac:dyDescent="0.3">
      <c r="L44" s="11"/>
      <c r="M44" s="8"/>
    </row>
    <row r="45" spans="12:13" x14ac:dyDescent="0.3">
      <c r="L45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A46"/>
  <sheetViews>
    <sheetView showGridLines="0" topLeftCell="G1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7" ht="13.8" thickBot="1" x14ac:dyDescent="0.35">
      <c r="Q1" s="42" t="s">
        <v>131</v>
      </c>
    </row>
    <row r="2" spans="1:27" x14ac:dyDescent="0.3">
      <c r="B2" s="5" t="s">
        <v>56</v>
      </c>
      <c r="E2" s="6" t="s">
        <v>7</v>
      </c>
      <c r="F2" s="7">
        <f>+'[17]Colector San Luis II'!$N$24</f>
        <v>556.44000000000005</v>
      </c>
      <c r="G2" s="8" t="s">
        <v>8</v>
      </c>
      <c r="I2" s="16" t="s">
        <v>65</v>
      </c>
      <c r="J2" s="17">
        <v>380</v>
      </c>
      <c r="K2" s="15" t="s">
        <v>66</v>
      </c>
      <c r="P2" s="47"/>
      <c r="Q2" s="48" t="s">
        <v>98</v>
      </c>
      <c r="R2" s="49"/>
      <c r="S2" s="49"/>
      <c r="T2" s="49"/>
      <c r="U2" s="49"/>
      <c r="V2" s="49"/>
      <c r="W2" s="49"/>
      <c r="X2" s="50"/>
    </row>
    <row r="3" spans="1:27" x14ac:dyDescent="0.3">
      <c r="P3" s="51"/>
      <c r="Q3" s="42" t="s">
        <v>126</v>
      </c>
      <c r="T3" s="12" t="s">
        <v>127</v>
      </c>
      <c r="X3" s="52"/>
    </row>
    <row r="4" spans="1:27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P4" s="51"/>
      <c r="Q4" s="12" t="s">
        <v>128</v>
      </c>
      <c r="U4" s="53">
        <v>0.2</v>
      </c>
      <c r="W4" s="43" t="s">
        <v>94</v>
      </c>
      <c r="X4" s="52"/>
    </row>
    <row r="5" spans="1:27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P5" s="54" t="s">
        <v>0</v>
      </c>
      <c r="Q5" s="45" t="s">
        <v>90</v>
      </c>
      <c r="R5" s="45" t="s">
        <v>99</v>
      </c>
      <c r="S5" s="45" t="s">
        <v>91</v>
      </c>
      <c r="T5" s="45" t="s">
        <v>92</v>
      </c>
      <c r="U5" s="45" t="s">
        <v>93</v>
      </c>
      <c r="V5" s="45" t="s">
        <v>100</v>
      </c>
      <c r="W5" s="45"/>
      <c r="X5" s="55" t="s">
        <v>101</v>
      </c>
      <c r="Y5" s="45"/>
      <c r="Z5" s="45" t="s">
        <v>92</v>
      </c>
      <c r="AA5" s="45" t="s">
        <v>97</v>
      </c>
    </row>
    <row r="6" spans="1:27" x14ac:dyDescent="0.3">
      <c r="A6" s="12" t="s">
        <v>6</v>
      </c>
      <c r="B6" s="2">
        <f>+'Colec San Luis I'!B6</f>
        <v>2022</v>
      </c>
      <c r="C6" s="3">
        <f>+SUMPRODUCT('[17]Colector San Luis II'!$AL$17:$AL$24,'[17]Colector San Luis II'!$M$17:$M$24)/F2</f>
        <v>96.426457729614526</v>
      </c>
      <c r="D6" s="3">
        <f t="shared" ref="D6:D21" si="0">+C6</f>
        <v>96.426457729614526</v>
      </c>
      <c r="E6" s="3">
        <f>D6/(0.25*PI()*(F6/1000)^2)/1000</f>
        <v>0.86201465781936859</v>
      </c>
      <c r="F6" s="3">
        <f>+SUMPRODUCT('[17]Colector San Luis II'!$F$17:$F$24,'[17]Colector San Luis II'!$M$17:$M$24)/F2</f>
        <v>377.39473797714044</v>
      </c>
      <c r="G6" s="3">
        <f>+'[2]Colector San Luis II'!$AB$24</f>
        <v>46.164938258117161</v>
      </c>
      <c r="H6" s="3">
        <f t="shared" ref="H6:H21" si="1">+D6-G6</f>
        <v>50.261519471497365</v>
      </c>
      <c r="L6" s="9"/>
      <c r="P6" s="56">
        <f>+B6</f>
        <v>2022</v>
      </c>
      <c r="Q6" s="9">
        <f>+'[2]Colector San Luis II'!$V$24</f>
        <v>1401.2998051988852</v>
      </c>
      <c r="R6" s="34">
        <f>+'[2]Colector San Luis II'!$U$24</f>
        <v>2.2431849794230265</v>
      </c>
      <c r="S6" s="44">
        <f t="shared" ref="S6" si="2">1+(14/(4+(SQRT(Q6/1000))))</f>
        <v>3.7007396627083331</v>
      </c>
      <c r="T6" s="34">
        <f t="shared" ref="T6" si="3">+S6*R6</f>
        <v>8.3014436241423706</v>
      </c>
      <c r="U6" s="34">
        <f>+R6*$U$4</f>
        <v>0.44863699588460532</v>
      </c>
      <c r="V6" s="34">
        <f t="shared" ref="V6" si="4">+U6+T6</f>
        <v>8.7500806200269761</v>
      </c>
      <c r="W6" s="34">
        <f>+'[2]Colector San Luis II'!$AA$24</f>
        <v>37.414857638090183</v>
      </c>
      <c r="X6" s="57">
        <f>+W6+V6</f>
        <v>46.164938258117161</v>
      </c>
      <c r="Z6" s="46">
        <f>+G6</f>
        <v>46.164938258117161</v>
      </c>
      <c r="AA6" s="34">
        <f>+Z6-X6</f>
        <v>0</v>
      </c>
    </row>
    <row r="7" spans="1:27" x14ac:dyDescent="0.3">
      <c r="B7" s="2">
        <f t="shared" ref="B7:B21" si="5">+B6+1</f>
        <v>2023</v>
      </c>
      <c r="C7" s="3">
        <f t="shared" ref="C7:C21" si="6">+C6</f>
        <v>96.426457729614526</v>
      </c>
      <c r="D7" s="3">
        <f t="shared" si="0"/>
        <v>96.426457729614526</v>
      </c>
      <c r="E7" s="3">
        <f t="shared" ref="E7:F21" si="7">+E6</f>
        <v>0.86201465781936859</v>
      </c>
      <c r="F7" s="3">
        <f t="shared" si="7"/>
        <v>377.39473797714044</v>
      </c>
      <c r="G7" s="3">
        <f>+'[3]Colector San Luis II'!$AB$24</f>
        <v>47.575403263597522</v>
      </c>
      <c r="H7" s="3">
        <f t="shared" si="1"/>
        <v>48.851054466017004</v>
      </c>
      <c r="L7" s="9"/>
      <c r="P7" s="56">
        <f t="shared" ref="P7:P21" si="8">+B7</f>
        <v>2023</v>
      </c>
      <c r="Q7" s="9">
        <f>+'[3]Colector San Luis II'!$V$24</f>
        <v>1412.6466076026884</v>
      </c>
      <c r="R7" s="34">
        <f>+'[3]Colector San Luis II'!$U$24</f>
        <v>2.313963913840333</v>
      </c>
      <c r="S7" s="44">
        <f t="shared" ref="S7:S21" si="9">1+(14/(4+(SQRT(Q7/1000))))</f>
        <v>3.6982500124638267</v>
      </c>
      <c r="T7" s="34">
        <f t="shared" ref="T7:T21" si="10">+S7*R7</f>
        <v>8.5576170732008556</v>
      </c>
      <c r="U7" s="34">
        <f t="shared" ref="U7:U21" si="11">+R7*$U$4</f>
        <v>0.46279278276806662</v>
      </c>
      <c r="V7" s="34">
        <f t="shared" ref="V7:V21" si="12">+U7+T7</f>
        <v>9.0204098559689214</v>
      </c>
      <c r="W7" s="34">
        <f>+'[3]Colector San Luis II'!$AA$24</f>
        <v>38.554993407628601</v>
      </c>
      <c r="X7" s="57">
        <f t="shared" ref="X7:X21" si="13">+W7+V7</f>
        <v>47.575403263597522</v>
      </c>
      <c r="Z7" s="46">
        <f t="shared" ref="Z7:Z21" si="14">+G7</f>
        <v>47.575403263597522</v>
      </c>
      <c r="AA7" s="34">
        <f t="shared" ref="AA7:AA21" si="15">+Z7-X7</f>
        <v>0</v>
      </c>
    </row>
    <row r="8" spans="1:27" x14ac:dyDescent="0.3">
      <c r="B8" s="2">
        <f t="shared" si="5"/>
        <v>2024</v>
      </c>
      <c r="C8" s="3">
        <f t="shared" si="6"/>
        <v>96.426457729614526</v>
      </c>
      <c r="D8" s="3">
        <f t="shared" si="0"/>
        <v>96.426457729614526</v>
      </c>
      <c r="E8" s="3">
        <f t="shared" si="7"/>
        <v>0.86201465781936859</v>
      </c>
      <c r="F8" s="3">
        <f t="shared" si="7"/>
        <v>377.39473797714044</v>
      </c>
      <c r="G8" s="3">
        <f>+'[4]Colector San Luis II'!$AB$24</f>
        <v>48.628575615393231</v>
      </c>
      <c r="H8" s="3">
        <f t="shared" si="1"/>
        <v>47.797882114221295</v>
      </c>
      <c r="L8" s="9"/>
      <c r="P8" s="56">
        <f t="shared" si="8"/>
        <v>2024</v>
      </c>
      <c r="Q8" s="9">
        <f>+'[4]Colector San Luis II'!$V$24</f>
        <v>1424.0455073545345</v>
      </c>
      <c r="R8" s="34">
        <f>+'[4]Colector San Luis II'!$U$24</f>
        <v>2.3674795124537407</v>
      </c>
      <c r="S8" s="44">
        <f t="shared" si="9"/>
        <v>3.6957635685685717</v>
      </c>
      <c r="T8" s="34">
        <f t="shared" si="10"/>
        <v>8.749644531459019</v>
      </c>
      <c r="U8" s="34">
        <f t="shared" si="11"/>
        <v>0.47349590249074813</v>
      </c>
      <c r="V8" s="34">
        <f t="shared" si="12"/>
        <v>9.2231404339497676</v>
      </c>
      <c r="W8" s="34">
        <f>+'[4]Colector San Luis II'!$AA$24</f>
        <v>39.405435181443465</v>
      </c>
      <c r="X8" s="57">
        <f t="shared" si="13"/>
        <v>48.628575615393231</v>
      </c>
      <c r="Z8" s="46">
        <f t="shared" si="14"/>
        <v>48.628575615393231</v>
      </c>
      <c r="AA8" s="34">
        <f t="shared" si="15"/>
        <v>0</v>
      </c>
    </row>
    <row r="9" spans="1:27" x14ac:dyDescent="0.3">
      <c r="B9" s="2">
        <f t="shared" si="5"/>
        <v>2025</v>
      </c>
      <c r="C9" s="3">
        <f t="shared" si="6"/>
        <v>96.426457729614526</v>
      </c>
      <c r="D9" s="3">
        <f t="shared" si="0"/>
        <v>96.426457729614526</v>
      </c>
      <c r="E9" s="3">
        <f t="shared" si="7"/>
        <v>0.86201465781936859</v>
      </c>
      <c r="F9" s="3">
        <f t="shared" si="7"/>
        <v>377.39473797714044</v>
      </c>
      <c r="G9" s="3">
        <f>+'[5]Colector San Luis II'!$AB$24</f>
        <v>49.684719971826553</v>
      </c>
      <c r="H9" s="3">
        <f t="shared" si="1"/>
        <v>46.741737757787973</v>
      </c>
      <c r="L9" s="9"/>
      <c r="P9" s="56">
        <f t="shared" si="8"/>
        <v>2025</v>
      </c>
      <c r="Q9" s="9">
        <f>+'[5]Colector San Luis II'!$V$24</f>
        <v>1435.4860849848153</v>
      </c>
      <c r="R9" s="34">
        <f>+'[5]Colector San Luis II'!$U$24</f>
        <v>2.4212354545272921</v>
      </c>
      <c r="S9" s="44">
        <f t="shared" si="9"/>
        <v>3.6932825954270307</v>
      </c>
      <c r="T9" s="34">
        <f t="shared" si="10"/>
        <v>8.9423067636365037</v>
      </c>
      <c r="U9" s="34">
        <f t="shared" si="11"/>
        <v>0.48424709090545842</v>
      </c>
      <c r="V9" s="34">
        <f t="shared" si="12"/>
        <v>9.4265538545419627</v>
      </c>
      <c r="W9" s="34">
        <f>+'[5]Colector San Luis II'!$AA$24</f>
        <v>40.258166117284588</v>
      </c>
      <c r="X9" s="57">
        <f t="shared" si="13"/>
        <v>49.684719971826553</v>
      </c>
      <c r="Z9" s="46">
        <f t="shared" si="14"/>
        <v>49.684719971826553</v>
      </c>
      <c r="AA9" s="34">
        <f t="shared" si="15"/>
        <v>0</v>
      </c>
    </row>
    <row r="10" spans="1:27" x14ac:dyDescent="0.3">
      <c r="B10" s="2">
        <f t="shared" si="5"/>
        <v>2026</v>
      </c>
      <c r="C10" s="3">
        <f t="shared" si="6"/>
        <v>96.426457729614526</v>
      </c>
      <c r="D10" s="3">
        <f t="shared" si="0"/>
        <v>96.426457729614526</v>
      </c>
      <c r="E10" s="3">
        <f t="shared" si="7"/>
        <v>0.86201465781936859</v>
      </c>
      <c r="F10" s="3">
        <f t="shared" si="7"/>
        <v>377.39473797714044</v>
      </c>
      <c r="G10" s="3">
        <f>+'[6]Colector San Luis II'!$AB$24</f>
        <v>50.751722260532496</v>
      </c>
      <c r="H10" s="3">
        <f t="shared" si="1"/>
        <v>45.67473546908203</v>
      </c>
      <c r="L10" s="9"/>
      <c r="P10" s="56">
        <f t="shared" si="8"/>
        <v>2026</v>
      </c>
      <c r="Q10" s="9">
        <f>+'[6]Colector San Luis II'!$V$24</f>
        <v>1446.989179432748</v>
      </c>
      <c r="R10" s="34">
        <f>+'[6]Colector San Luis II'!$U$24</f>
        <v>2.475620923442245</v>
      </c>
      <c r="S10" s="44">
        <f t="shared" si="9"/>
        <v>3.6908025851360162</v>
      </c>
      <c r="T10" s="34">
        <f t="shared" si="10"/>
        <v>9.1370281040574497</v>
      </c>
      <c r="U10" s="34">
        <f t="shared" si="11"/>
        <v>0.49512418468844904</v>
      </c>
      <c r="V10" s="34">
        <f t="shared" si="12"/>
        <v>9.6321522887458979</v>
      </c>
      <c r="W10" s="34">
        <f>+'[6]Colector San Luis II'!$AA$24</f>
        <v>41.119569971786596</v>
      </c>
      <c r="X10" s="57">
        <f t="shared" si="13"/>
        <v>50.751722260532496</v>
      </c>
      <c r="Z10" s="46">
        <f t="shared" si="14"/>
        <v>50.751722260532496</v>
      </c>
      <c r="AA10" s="34">
        <f t="shared" si="15"/>
        <v>0</v>
      </c>
    </row>
    <row r="11" spans="1:27" x14ac:dyDescent="0.3">
      <c r="B11" s="2">
        <f t="shared" si="5"/>
        <v>2027</v>
      </c>
      <c r="C11" s="3">
        <f t="shared" si="6"/>
        <v>96.426457729614526</v>
      </c>
      <c r="D11" s="3">
        <f t="shared" si="0"/>
        <v>96.426457729614526</v>
      </c>
      <c r="E11" s="3">
        <f t="shared" si="7"/>
        <v>0.86201465781936859</v>
      </c>
      <c r="F11" s="3">
        <f t="shared" si="7"/>
        <v>377.39473797714044</v>
      </c>
      <c r="G11" s="3">
        <f>+'[7]Colector San Luis II'!$AB$24</f>
        <v>51.827594093250418</v>
      </c>
      <c r="H11" s="3">
        <f t="shared" si="1"/>
        <v>44.598863636364108</v>
      </c>
      <c r="L11" s="9"/>
      <c r="P11" s="56">
        <f t="shared" si="8"/>
        <v>2027</v>
      </c>
      <c r="Q11" s="9">
        <f>+'[7]Colector San Luis II'!$V$24</f>
        <v>1458.5443712287235</v>
      </c>
      <c r="R11" s="34">
        <f>+'[7]Colector San Luis II'!$U$24</f>
        <v>2.5305381583534658</v>
      </c>
      <c r="S11" s="44">
        <f t="shared" si="9"/>
        <v>3.6883258145875568</v>
      </c>
      <c r="T11" s="34">
        <f t="shared" si="10"/>
        <v>9.3334492142539425</v>
      </c>
      <c r="U11" s="34">
        <f t="shared" si="11"/>
        <v>0.50610763167069317</v>
      </c>
      <c r="V11" s="34">
        <f t="shared" si="12"/>
        <v>9.8395568459246352</v>
      </c>
      <c r="W11" s="34">
        <f>+'[7]Colector San Luis II'!$AA$24</f>
        <v>41.988037247325785</v>
      </c>
      <c r="X11" s="57">
        <f t="shared" si="13"/>
        <v>51.827594093250418</v>
      </c>
      <c r="Z11" s="46">
        <f t="shared" si="14"/>
        <v>51.827594093250418</v>
      </c>
      <c r="AA11" s="34">
        <f t="shared" si="15"/>
        <v>0</v>
      </c>
    </row>
    <row r="12" spans="1:27" x14ac:dyDescent="0.3">
      <c r="B12" s="2">
        <f t="shared" si="5"/>
        <v>2028</v>
      </c>
      <c r="C12" s="3">
        <f t="shared" si="6"/>
        <v>96.426457729614526</v>
      </c>
      <c r="D12" s="3">
        <f t="shared" si="0"/>
        <v>96.426457729614526</v>
      </c>
      <c r="E12" s="3">
        <f t="shared" si="7"/>
        <v>0.86201465781936859</v>
      </c>
      <c r="F12" s="3">
        <f t="shared" si="7"/>
        <v>377.39473797714044</v>
      </c>
      <c r="G12" s="3">
        <f>+'[8]Colector San Luis II'!$AB$24</f>
        <v>52.916438379812696</v>
      </c>
      <c r="H12" s="3">
        <f t="shared" si="1"/>
        <v>43.51001934980183</v>
      </c>
      <c r="L12" s="9"/>
      <c r="P12" s="56">
        <f t="shared" si="8"/>
        <v>2028</v>
      </c>
      <c r="Q12" s="9">
        <f>+'[8]Colector San Luis II'!$V$24</f>
        <v>1470.162079842351</v>
      </c>
      <c r="R12" s="34">
        <f>+'[8]Colector San Luis II'!$U$24</f>
        <v>2.5861910376969668</v>
      </c>
      <c r="S12" s="44">
        <f t="shared" si="9"/>
        <v>3.6858500802043443</v>
      </c>
      <c r="T12" s="34">
        <f t="shared" si="10"/>
        <v>9.5323124437191211</v>
      </c>
      <c r="U12" s="34">
        <f t="shared" si="11"/>
        <v>0.51723820753939342</v>
      </c>
      <c r="V12" s="34">
        <f t="shared" si="12"/>
        <v>10.049550651258514</v>
      </c>
      <c r="W12" s="34">
        <f>+'[8]Colector San Luis II'!$AA$24</f>
        <v>42.866887728554183</v>
      </c>
      <c r="X12" s="57">
        <f t="shared" si="13"/>
        <v>52.916438379812696</v>
      </c>
      <c r="Z12" s="46">
        <f t="shared" si="14"/>
        <v>52.916438379812696</v>
      </c>
      <c r="AA12" s="34">
        <f t="shared" si="15"/>
        <v>0</v>
      </c>
    </row>
    <row r="13" spans="1:27" x14ac:dyDescent="0.3">
      <c r="B13" s="2">
        <f t="shared" si="5"/>
        <v>2029</v>
      </c>
      <c r="C13" s="3">
        <f t="shared" si="6"/>
        <v>96.426457729614526</v>
      </c>
      <c r="D13" s="3">
        <f t="shared" si="0"/>
        <v>96.426457729614526</v>
      </c>
      <c r="E13" s="3">
        <f t="shared" si="7"/>
        <v>0.86201465781936859</v>
      </c>
      <c r="F13" s="3">
        <f t="shared" si="7"/>
        <v>377.39473797714044</v>
      </c>
      <c r="G13" s="3">
        <f>+'[9]Colector San Luis II'!$AB$24</f>
        <v>54.007857521432868</v>
      </c>
      <c r="H13" s="3">
        <f t="shared" si="1"/>
        <v>42.418600208181658</v>
      </c>
      <c r="L13" s="9"/>
      <c r="P13" s="56">
        <f t="shared" si="8"/>
        <v>2029</v>
      </c>
      <c r="Q13" s="9">
        <f>+'[9]Colector San Luis II'!$V$24</f>
        <v>1481.8214663344133</v>
      </c>
      <c r="R13" s="34">
        <f>+'[9]Colector San Luis II'!$U$24</f>
        <v>2.6420681976899822</v>
      </c>
      <c r="S13" s="44">
        <f t="shared" si="9"/>
        <v>3.6833798327252656</v>
      </c>
      <c r="T13" s="34">
        <f t="shared" si="10"/>
        <v>9.7317407160560716</v>
      </c>
      <c r="U13" s="34">
        <f t="shared" si="11"/>
        <v>0.52841363953799647</v>
      </c>
      <c r="V13" s="34">
        <f t="shared" si="12"/>
        <v>10.260154355594068</v>
      </c>
      <c r="W13" s="34">
        <f>+'[9]Colector San Luis II'!$AA$24</f>
        <v>43.7477031658388</v>
      </c>
      <c r="X13" s="57">
        <f t="shared" si="13"/>
        <v>54.007857521432868</v>
      </c>
      <c r="Z13" s="46">
        <f t="shared" si="14"/>
        <v>54.007857521432868</v>
      </c>
      <c r="AA13" s="34">
        <f t="shared" si="15"/>
        <v>0</v>
      </c>
    </row>
    <row r="14" spans="1:27" x14ac:dyDescent="0.3">
      <c r="B14" s="2">
        <f t="shared" si="5"/>
        <v>2030</v>
      </c>
      <c r="C14" s="3">
        <f t="shared" si="6"/>
        <v>96.426457729614526</v>
      </c>
      <c r="D14" s="3">
        <f t="shared" si="0"/>
        <v>96.426457729614526</v>
      </c>
      <c r="E14" s="3">
        <f t="shared" si="7"/>
        <v>0.86201465781936859</v>
      </c>
      <c r="F14" s="3">
        <f t="shared" si="7"/>
        <v>377.39473797714044</v>
      </c>
      <c r="G14" s="3">
        <f>+'[10]Colector San Luis II'!$AB$24</f>
        <v>55.110165188348489</v>
      </c>
      <c r="H14" s="3">
        <f t="shared" si="1"/>
        <v>41.316292541266037</v>
      </c>
      <c r="L14" s="9"/>
      <c r="P14" s="56">
        <f t="shared" si="8"/>
        <v>2030</v>
      </c>
      <c r="Q14" s="9">
        <f>+'[10]Colector San Luis II'!$V$24</f>
        <v>1493.5433696441269</v>
      </c>
      <c r="R14" s="34">
        <f>+'[10]Colector San Luis II'!$U$24</f>
        <v>2.6985814590365735</v>
      </c>
      <c r="S14" s="44">
        <f t="shared" si="9"/>
        <v>3.6809106665167777</v>
      </c>
      <c r="T14" s="34">
        <f t="shared" si="10"/>
        <v>9.9332372770321324</v>
      </c>
      <c r="U14" s="34">
        <f t="shared" si="11"/>
        <v>0.53971629180731473</v>
      </c>
      <c r="V14" s="34">
        <f t="shared" si="12"/>
        <v>10.472953568839447</v>
      </c>
      <c r="W14" s="34">
        <f>+'[10]Colector San Luis II'!$AA$24</f>
        <v>44.637211619509038</v>
      </c>
      <c r="X14" s="57">
        <f t="shared" si="13"/>
        <v>55.110165188348489</v>
      </c>
      <c r="Z14" s="46">
        <f t="shared" si="14"/>
        <v>55.110165188348489</v>
      </c>
      <c r="AA14" s="34">
        <f t="shared" si="15"/>
        <v>0</v>
      </c>
    </row>
    <row r="15" spans="1:27" x14ac:dyDescent="0.3">
      <c r="B15" s="2">
        <f t="shared" si="5"/>
        <v>2031</v>
      </c>
      <c r="C15" s="3">
        <f t="shared" si="6"/>
        <v>96.426457729614526</v>
      </c>
      <c r="D15" s="3">
        <f t="shared" si="0"/>
        <v>96.426457729614526</v>
      </c>
      <c r="E15" s="3">
        <f t="shared" si="7"/>
        <v>0.86201465781936859</v>
      </c>
      <c r="F15" s="3">
        <f t="shared" si="7"/>
        <v>377.39473797714044</v>
      </c>
      <c r="G15" s="3">
        <f>+'[11]Colector San Luis II'!$AB$24</f>
        <v>56.221201896698417</v>
      </c>
      <c r="H15" s="3">
        <f t="shared" si="1"/>
        <v>40.205255832916109</v>
      </c>
      <c r="L15" s="9"/>
      <c r="P15" s="56">
        <f t="shared" si="8"/>
        <v>2031</v>
      </c>
      <c r="Q15" s="9">
        <f>+'[11]Colector San Luis II'!$V$24</f>
        <v>1505.3277897714927</v>
      </c>
      <c r="R15" s="34">
        <f>+'[11]Colector San Luis II'!$U$24</f>
        <v>2.7556264863794326</v>
      </c>
      <c r="S15" s="44">
        <f t="shared" si="9"/>
        <v>3.6784426287041998</v>
      </c>
      <c r="T15" s="34">
        <f t="shared" si="10"/>
        <v>10.136413936284479</v>
      </c>
      <c r="U15" s="34">
        <f t="shared" si="11"/>
        <v>0.55112529727588655</v>
      </c>
      <c r="V15" s="34">
        <f t="shared" si="12"/>
        <v>10.687539233560365</v>
      </c>
      <c r="W15" s="34">
        <f>+'[11]Colector San Luis II'!$AA$24</f>
        <v>45.533662663138053</v>
      </c>
      <c r="X15" s="57">
        <f t="shared" si="13"/>
        <v>56.221201896698417</v>
      </c>
      <c r="Z15" s="46">
        <f t="shared" si="14"/>
        <v>56.221201896698417</v>
      </c>
      <c r="AA15" s="34">
        <f t="shared" si="15"/>
        <v>0</v>
      </c>
    </row>
    <row r="16" spans="1:27" x14ac:dyDescent="0.3">
      <c r="B16" s="2">
        <f t="shared" si="5"/>
        <v>2032</v>
      </c>
      <c r="C16" s="3">
        <f t="shared" si="6"/>
        <v>96.426457729614526</v>
      </c>
      <c r="D16" s="3">
        <f t="shared" si="0"/>
        <v>96.426457729614526</v>
      </c>
      <c r="E16" s="3">
        <f t="shared" si="7"/>
        <v>0.86201465781936859</v>
      </c>
      <c r="F16" s="3">
        <f t="shared" si="7"/>
        <v>377.39473797714044</v>
      </c>
      <c r="G16" s="3">
        <f>+'[12]Colector San Luis II'!$AB$24</f>
        <v>57.345292143552498</v>
      </c>
      <c r="H16" s="3">
        <f t="shared" si="1"/>
        <v>39.081165586062028</v>
      </c>
      <c r="L16" s="9"/>
      <c r="P16" s="56">
        <f t="shared" si="8"/>
        <v>2032</v>
      </c>
      <c r="Q16" s="9">
        <f>+'[12]Colector San Luis II'!$V$24</f>
        <v>1517.1747267165101</v>
      </c>
      <c r="R16" s="34">
        <f>+'[12]Colector San Luis II'!$U$24</f>
        <v>2.813416646453025</v>
      </c>
      <c r="S16" s="44">
        <f t="shared" si="9"/>
        <v>3.6759757655046039</v>
      </c>
      <c r="T16" s="34">
        <f t="shared" si="10"/>
        <v>10.342051410628555</v>
      </c>
      <c r="U16" s="34">
        <f t="shared" si="11"/>
        <v>0.56268332929060505</v>
      </c>
      <c r="V16" s="34">
        <f t="shared" si="12"/>
        <v>10.90473473991916</v>
      </c>
      <c r="W16" s="34">
        <f>+'[12]Colector San Luis II'!$AA$24</f>
        <v>46.440557403633342</v>
      </c>
      <c r="X16" s="57">
        <f t="shared" si="13"/>
        <v>57.345292143552498</v>
      </c>
      <c r="Z16" s="46">
        <f t="shared" si="14"/>
        <v>57.345292143552498</v>
      </c>
      <c r="AA16" s="34">
        <f t="shared" si="15"/>
        <v>0</v>
      </c>
    </row>
    <row r="17" spans="1:27" x14ac:dyDescent="0.3">
      <c r="B17" s="2">
        <f t="shared" si="5"/>
        <v>2033</v>
      </c>
      <c r="C17" s="3">
        <f t="shared" si="6"/>
        <v>96.426457729614526</v>
      </c>
      <c r="D17" s="3">
        <f t="shared" si="0"/>
        <v>96.426457729614526</v>
      </c>
      <c r="E17" s="3">
        <f t="shared" si="7"/>
        <v>0.86201465781936859</v>
      </c>
      <c r="F17" s="3">
        <f t="shared" si="7"/>
        <v>377.39473797714044</v>
      </c>
      <c r="G17" s="3">
        <f>+'[13]Colector San Luis II'!$AB$24</f>
        <v>58.471416909800588</v>
      </c>
      <c r="H17" s="3">
        <f t="shared" si="1"/>
        <v>37.955040819813938</v>
      </c>
      <c r="L17" s="9"/>
      <c r="P17" s="56">
        <f t="shared" si="8"/>
        <v>2033</v>
      </c>
      <c r="Q17" s="9">
        <f>+'[13]Colector San Luis II'!$V$24</f>
        <v>1529.0945999487883</v>
      </c>
      <c r="R17" s="34">
        <f>+'[13]Colector San Luis II'!$U$24</f>
        <v>2.8714150243655054</v>
      </c>
      <c r="S17" s="44">
        <f t="shared" si="9"/>
        <v>3.6735079712717784</v>
      </c>
      <c r="T17" s="34">
        <f t="shared" si="10"/>
        <v>10.548165980836233</v>
      </c>
      <c r="U17" s="34">
        <f t="shared" si="11"/>
        <v>0.57428300487310113</v>
      </c>
      <c r="V17" s="34">
        <f t="shared" si="12"/>
        <v>11.122448985709333</v>
      </c>
      <c r="W17" s="34">
        <f>+'[13]Colector San Luis II'!$AA$24</f>
        <v>47.348967924091255</v>
      </c>
      <c r="X17" s="57">
        <f t="shared" si="13"/>
        <v>58.471416909800588</v>
      </c>
      <c r="Z17" s="46">
        <f t="shared" si="14"/>
        <v>58.471416909800588</v>
      </c>
      <c r="AA17" s="34">
        <f t="shared" si="15"/>
        <v>0</v>
      </c>
    </row>
    <row r="18" spans="1:27" x14ac:dyDescent="0.3">
      <c r="B18" s="2">
        <f t="shared" si="5"/>
        <v>2034</v>
      </c>
      <c r="C18" s="3">
        <f t="shared" si="6"/>
        <v>96.426457729614526</v>
      </c>
      <c r="D18" s="3">
        <f t="shared" si="0"/>
        <v>96.426457729614526</v>
      </c>
      <c r="E18" s="3">
        <f t="shared" si="7"/>
        <v>0.86201465781936859</v>
      </c>
      <c r="F18" s="3">
        <f t="shared" si="7"/>
        <v>377.39473797714044</v>
      </c>
      <c r="G18" s="3">
        <f>+'[14]Colector San Luis II'!$AB$24</f>
        <v>59.608555886725412</v>
      </c>
      <c r="H18" s="3">
        <f t="shared" si="1"/>
        <v>36.817901842889114</v>
      </c>
      <c r="L18" s="9"/>
      <c r="P18" s="56">
        <f t="shared" si="8"/>
        <v>2034</v>
      </c>
      <c r="Q18" s="9">
        <f>+'[14]Colector San Luis II'!$V$24</f>
        <v>1541.0561510595005</v>
      </c>
      <c r="R18" s="34">
        <f>+'[14]Colector San Luis II'!$U$24</f>
        <v>2.9300560781437355</v>
      </c>
      <c r="S18" s="44">
        <f t="shared" si="9"/>
        <v>3.6710457433641062</v>
      </c>
      <c r="T18" s="34">
        <f t="shared" si="10"/>
        <v>10.756369893487687</v>
      </c>
      <c r="U18" s="34">
        <f t="shared" si="11"/>
        <v>0.58601121562874714</v>
      </c>
      <c r="V18" s="34">
        <f t="shared" si="12"/>
        <v>11.342381109116435</v>
      </c>
      <c r="W18" s="34">
        <f>+'[14]Colector San Luis II'!$AA$24</f>
        <v>48.266174777608974</v>
      </c>
      <c r="X18" s="57">
        <f t="shared" si="13"/>
        <v>59.608555886725412</v>
      </c>
      <c r="Z18" s="46">
        <f t="shared" si="14"/>
        <v>59.608555886725412</v>
      </c>
      <c r="AA18" s="34">
        <f t="shared" si="15"/>
        <v>0</v>
      </c>
    </row>
    <row r="19" spans="1:27" x14ac:dyDescent="0.3">
      <c r="B19" s="2">
        <f t="shared" si="5"/>
        <v>2035</v>
      </c>
      <c r="C19" s="3">
        <f t="shared" si="6"/>
        <v>96.426457729614526</v>
      </c>
      <c r="D19" s="3">
        <f t="shared" si="0"/>
        <v>96.426457729614526</v>
      </c>
      <c r="E19" s="3">
        <f t="shared" si="7"/>
        <v>0.86201465781936859</v>
      </c>
      <c r="F19" s="3">
        <f t="shared" si="7"/>
        <v>377.39473797714044</v>
      </c>
      <c r="G19" s="3">
        <f>+'[15]Colector San Luis II'!$AB$24</f>
        <v>60.754227793742452</v>
      </c>
      <c r="H19" s="3">
        <f t="shared" si="1"/>
        <v>35.672229935872075</v>
      </c>
      <c r="L19" s="9"/>
      <c r="P19" s="56">
        <f t="shared" si="8"/>
        <v>2035</v>
      </c>
      <c r="Q19" s="9">
        <f>+'[15]Colector San Luis II'!$V$24</f>
        <v>1553.1010579270824</v>
      </c>
      <c r="R19" s="34">
        <f>+'[15]Colector San Luis II'!$U$24</f>
        <v>2.9892288979182324</v>
      </c>
      <c r="S19" s="44">
        <f t="shared" si="9"/>
        <v>3.6685805460324263</v>
      </c>
      <c r="T19" s="34">
        <f t="shared" si="10"/>
        <v>10.966226982540777</v>
      </c>
      <c r="U19" s="34">
        <f t="shared" si="11"/>
        <v>0.59784577958364649</v>
      </c>
      <c r="V19" s="34">
        <f t="shared" si="12"/>
        <v>11.564072762124423</v>
      </c>
      <c r="W19" s="34">
        <f>+'[15]Colector San Luis II'!$AA$24</f>
        <v>49.190155031618026</v>
      </c>
      <c r="X19" s="57">
        <f t="shared" si="13"/>
        <v>60.754227793742452</v>
      </c>
      <c r="Z19" s="46">
        <f t="shared" si="14"/>
        <v>60.754227793742452</v>
      </c>
      <c r="AA19" s="34">
        <f t="shared" si="15"/>
        <v>0</v>
      </c>
    </row>
    <row r="20" spans="1:27" x14ac:dyDescent="0.3">
      <c r="B20" s="2">
        <f t="shared" si="5"/>
        <v>2036</v>
      </c>
      <c r="C20" s="3">
        <f t="shared" si="6"/>
        <v>96.426457729614526</v>
      </c>
      <c r="D20" s="3">
        <f t="shared" si="0"/>
        <v>96.426457729614526</v>
      </c>
      <c r="E20" s="3">
        <f t="shared" si="7"/>
        <v>0.86201465781936859</v>
      </c>
      <c r="F20" s="3">
        <f t="shared" si="7"/>
        <v>377.39473797714044</v>
      </c>
      <c r="G20" s="3">
        <f>+'[16]Colector San Luis II'!$AB$24</f>
        <v>61.913082170347792</v>
      </c>
      <c r="H20" s="3">
        <f t="shared" si="1"/>
        <v>34.513375559266734</v>
      </c>
      <c r="L20" s="9"/>
      <c r="P20" s="56">
        <f t="shared" si="8"/>
        <v>2036</v>
      </c>
      <c r="Q20" s="9">
        <f>+'[16]Colector San Luis II'!$V$24</f>
        <v>1565.1980621427067</v>
      </c>
      <c r="R20" s="34">
        <f>+'[16]Colector San Luis II'!$U$24</f>
        <v>3.0491563387219194</v>
      </c>
      <c r="S20" s="44">
        <f t="shared" si="9"/>
        <v>3.6661188379669238</v>
      </c>
      <c r="T20" s="34">
        <f t="shared" si="10"/>
        <v>11.178569493294683</v>
      </c>
      <c r="U20" s="34">
        <f t="shared" si="11"/>
        <v>0.6098312677443839</v>
      </c>
      <c r="V20" s="34">
        <f t="shared" si="12"/>
        <v>11.788400761039068</v>
      </c>
      <c r="W20" s="34">
        <f>+'[16]Colector San Luis II'!$AA$24</f>
        <v>50.124681409308721</v>
      </c>
      <c r="X20" s="57">
        <f t="shared" si="13"/>
        <v>61.913082170347792</v>
      </c>
      <c r="Z20" s="46">
        <f t="shared" si="14"/>
        <v>61.913082170347792</v>
      </c>
      <c r="AA20" s="34">
        <f t="shared" si="15"/>
        <v>0</v>
      </c>
    </row>
    <row r="21" spans="1:27" ht="13.8" thickBot="1" x14ac:dyDescent="0.35">
      <c r="B21" s="2">
        <f t="shared" si="5"/>
        <v>2037</v>
      </c>
      <c r="C21" s="3">
        <f t="shared" si="6"/>
        <v>96.426457729614526</v>
      </c>
      <c r="D21" s="3">
        <f t="shared" si="0"/>
        <v>96.426457729614526</v>
      </c>
      <c r="E21" s="3">
        <f t="shared" si="7"/>
        <v>0.86201465781936859</v>
      </c>
      <c r="F21" s="3">
        <f t="shared" si="7"/>
        <v>377.39473797714044</v>
      </c>
      <c r="G21" s="3">
        <f>+'[17]Colector San Luis II'!$AB$24</f>
        <v>63.073571466302226</v>
      </c>
      <c r="H21" s="3">
        <f t="shared" si="1"/>
        <v>33.3528862633123</v>
      </c>
      <c r="I21" s="13">
        <f>+G21/G6-1</f>
        <v>0.36626569526954866</v>
      </c>
      <c r="L21" s="9"/>
      <c r="M21" s="8"/>
      <c r="P21" s="58">
        <f t="shared" si="8"/>
        <v>2037</v>
      </c>
      <c r="Q21" s="59">
        <f>+'[17]Colector San Luis II'!$V$24</f>
        <v>1577.368002645592</v>
      </c>
      <c r="R21" s="60">
        <f>+'[17]Colector San Luis II'!$U$24</f>
        <v>3.1092759345538639</v>
      </c>
      <c r="S21" s="61">
        <f t="shared" si="9"/>
        <v>3.6636564201987158</v>
      </c>
      <c r="T21" s="60">
        <f t="shared" si="10"/>
        <v>11.391318739797626</v>
      </c>
      <c r="U21" s="60">
        <f t="shared" si="11"/>
        <v>0.62185518691077279</v>
      </c>
      <c r="V21" s="60">
        <f t="shared" si="12"/>
        <v>12.013173926708399</v>
      </c>
      <c r="W21" s="60">
        <f>+'[17]Colector San Luis II'!$AA$24</f>
        <v>51.060397539593829</v>
      </c>
      <c r="X21" s="62">
        <f t="shared" si="13"/>
        <v>63.073571466302226</v>
      </c>
      <c r="Z21" s="46">
        <f t="shared" si="14"/>
        <v>63.073571466302226</v>
      </c>
      <c r="AA21" s="34">
        <f t="shared" si="15"/>
        <v>0</v>
      </c>
    </row>
    <row r="22" spans="1:27" x14ac:dyDescent="0.3">
      <c r="L22" s="9"/>
    </row>
    <row r="23" spans="1:27" x14ac:dyDescent="0.3">
      <c r="L23" s="9"/>
    </row>
    <row r="24" spans="1:27" ht="13.8" thickBot="1" x14ac:dyDescent="0.35"/>
    <row r="25" spans="1:27" x14ac:dyDescent="0.3">
      <c r="P25" s="47"/>
      <c r="Q25" s="49"/>
      <c r="R25" s="49"/>
      <c r="S25" s="49"/>
      <c r="T25" s="49"/>
      <c r="U25" s="49"/>
      <c r="V25" s="49"/>
      <c r="W25" s="49"/>
      <c r="X25" s="50"/>
    </row>
    <row r="26" spans="1:27" x14ac:dyDescent="0.3">
      <c r="B26" s="5" t="s">
        <v>57</v>
      </c>
      <c r="E26" s="6" t="s">
        <v>7</v>
      </c>
      <c r="F26" s="7">
        <f>+'[17]Colector San Luis II'!$N$42</f>
        <v>562.82999999999993</v>
      </c>
      <c r="G26" s="8" t="s">
        <v>8</v>
      </c>
      <c r="P26" s="51"/>
      <c r="Q26" s="8" t="s">
        <v>98</v>
      </c>
      <c r="X26" s="52"/>
    </row>
    <row r="27" spans="1:27" x14ac:dyDescent="0.3">
      <c r="P27" s="51"/>
      <c r="Q27" s="42" t="s">
        <v>130</v>
      </c>
      <c r="T27" s="12" t="s">
        <v>127</v>
      </c>
      <c r="X27" s="52"/>
    </row>
    <row r="28" spans="1:27" x14ac:dyDescent="0.3">
      <c r="B28" s="96" t="s">
        <v>0</v>
      </c>
      <c r="C28" s="96" t="s">
        <v>20</v>
      </c>
      <c r="D28" s="96" t="s">
        <v>1</v>
      </c>
      <c r="E28" s="96"/>
      <c r="F28" s="96"/>
      <c r="G28" s="96" t="s">
        <v>21</v>
      </c>
      <c r="H28" s="96" t="s">
        <v>2</v>
      </c>
      <c r="P28" s="51"/>
      <c r="Q28" s="12" t="s">
        <v>129</v>
      </c>
      <c r="U28" s="53">
        <v>0.2</v>
      </c>
      <c r="W28" s="43" t="s">
        <v>94</v>
      </c>
      <c r="X28" s="52"/>
    </row>
    <row r="29" spans="1:27" x14ac:dyDescent="0.3">
      <c r="B29" s="96"/>
      <c r="C29" s="96"/>
      <c r="D29" s="18" t="s">
        <v>3</v>
      </c>
      <c r="E29" s="18" t="s">
        <v>4</v>
      </c>
      <c r="F29" s="18" t="s">
        <v>5</v>
      </c>
      <c r="G29" s="96"/>
      <c r="H29" s="96"/>
      <c r="P29" s="54" t="s">
        <v>0</v>
      </c>
      <c r="Q29" s="45" t="s">
        <v>90</v>
      </c>
      <c r="R29" s="45" t="s">
        <v>99</v>
      </c>
      <c r="S29" s="45" t="s">
        <v>91</v>
      </c>
      <c r="T29" s="45" t="s">
        <v>92</v>
      </c>
      <c r="U29" s="45" t="s">
        <v>93</v>
      </c>
      <c r="V29" s="45" t="s">
        <v>100</v>
      </c>
      <c r="W29" s="45"/>
      <c r="X29" s="55" t="s">
        <v>101</v>
      </c>
      <c r="Y29" s="45"/>
      <c r="Z29" s="45" t="s">
        <v>92</v>
      </c>
      <c r="AA29" s="45" t="s">
        <v>97</v>
      </c>
    </row>
    <row r="30" spans="1:27" x14ac:dyDescent="0.3">
      <c r="A30" s="12" t="s">
        <v>6</v>
      </c>
      <c r="B30" s="2">
        <f>+'Colec San Luis I'!B6</f>
        <v>2022</v>
      </c>
      <c r="C30" s="3">
        <f>+SUMPRODUCT('[17]Colector San Luis II'!$AL$33:$AL$42,'[17]Colector San Luis II'!$M$33:$M$42)/F26</f>
        <v>148.90679054371037</v>
      </c>
      <c r="D30" s="3">
        <f t="shared" ref="D30:D45" si="16">+C30</f>
        <v>148.90679054371037</v>
      </c>
      <c r="E30" s="40">
        <v>0.96927445496088582</v>
      </c>
      <c r="F30" s="3">
        <f>+SUMPRODUCT('[17]Colector San Luis II'!$F$33:$F$42,'[17]Colector San Luis II'!$M$33:$M$42)/F26</f>
        <v>500.00000000000006</v>
      </c>
      <c r="G30" s="3">
        <f>+'[2]Colector San Luis II'!$AB$42</f>
        <v>91.282818075036317</v>
      </c>
      <c r="H30" s="3">
        <f t="shared" ref="H30:H45" si="17">+D30-G30</f>
        <v>57.623972468674054</v>
      </c>
      <c r="J30" s="35">
        <f t="shared" ref="J30:J45" si="18">+G6+G30</f>
        <v>137.44775633315348</v>
      </c>
      <c r="K30" s="35">
        <f t="shared" ref="K30:K45" si="19">+H6+H30</f>
        <v>107.88549194017142</v>
      </c>
      <c r="L30" s="34">
        <f t="shared" ref="L30:L45" si="20">+C30+C6</f>
        <v>245.3332482733249</v>
      </c>
      <c r="M30" s="34">
        <f t="shared" ref="M30:M45" si="21">+(D30*E30+D6*E6)/(D6+D30)</f>
        <v>0.92711676794558651</v>
      </c>
      <c r="N30" s="34">
        <f t="shared" ref="N30:N45" si="22">+(F30*D30+F6*D6)/(D6+D30)</f>
        <v>451.81088906993847</v>
      </c>
      <c r="P30" s="56">
        <f>+B30</f>
        <v>2022</v>
      </c>
      <c r="Q30" s="9">
        <f>+'[2]Colector San Luis II'!$V$42</f>
        <v>2802.5996103977704</v>
      </c>
      <c r="R30" s="34">
        <f>+'[2]Colector San Luis II'!$U$42</f>
        <v>4.4863699588460531</v>
      </c>
      <c r="S30" s="44">
        <f t="shared" ref="S30" si="23">1+(14/(4+(SQRT(Q30/1000))))</f>
        <v>3.4673531050229927</v>
      </c>
      <c r="T30" s="34">
        <f t="shared" ref="T30" si="24">+S30*R30</f>
        <v>15.555828807086737</v>
      </c>
      <c r="U30" s="34">
        <f t="shared" ref="U30:U40" si="25">+R30*$U$28</f>
        <v>0.89727399176921063</v>
      </c>
      <c r="V30" s="34">
        <f t="shared" ref="V30" si="26">+U30+T30</f>
        <v>16.453102798855948</v>
      </c>
      <c r="W30" s="34">
        <f>+'[2]Colector San Luis II'!$AA$42</f>
        <v>74.829715276180366</v>
      </c>
      <c r="X30" s="57">
        <f>+W30+V30</f>
        <v>91.282818075036317</v>
      </c>
      <c r="Z30" s="46">
        <f>+G30</f>
        <v>91.282818075036317</v>
      </c>
      <c r="AA30" s="34">
        <f>+Z30-X30</f>
        <v>0</v>
      </c>
    </row>
    <row r="31" spans="1:27" x14ac:dyDescent="0.3">
      <c r="B31" s="2">
        <f t="shared" ref="B31:B45" si="27">+B30+1</f>
        <v>2023</v>
      </c>
      <c r="C31" s="3">
        <f t="shared" ref="C31:C45" si="28">+C30</f>
        <v>148.90679054371037</v>
      </c>
      <c r="D31" s="3">
        <f t="shared" si="16"/>
        <v>148.90679054371037</v>
      </c>
      <c r="E31" s="3">
        <f t="shared" ref="E31:E45" si="29">+E30</f>
        <v>0.96927445496088582</v>
      </c>
      <c r="F31" s="3">
        <f t="shared" ref="F31:F45" si="30">+F30</f>
        <v>500.00000000000006</v>
      </c>
      <c r="G31" s="3">
        <f>+'[3]Colector San Luis II'!$AB$42</f>
        <v>94.06863602094117</v>
      </c>
      <c r="H31" s="3">
        <f t="shared" si="17"/>
        <v>54.838154522769202</v>
      </c>
      <c r="J31" s="35">
        <f t="shared" si="18"/>
        <v>141.64403928453868</v>
      </c>
      <c r="K31" s="35">
        <f t="shared" si="19"/>
        <v>103.68920898878621</v>
      </c>
      <c r="L31" s="34">
        <f t="shared" si="20"/>
        <v>245.3332482733249</v>
      </c>
      <c r="M31" s="34">
        <f t="shared" si="21"/>
        <v>0.92711676794558651</v>
      </c>
      <c r="N31" s="34">
        <f t="shared" si="22"/>
        <v>451.81088906993847</v>
      </c>
      <c r="P31" s="56">
        <f t="shared" ref="P31:P45" si="31">+B31</f>
        <v>2023</v>
      </c>
      <c r="Q31" s="9">
        <f>+'[3]Colector San Luis II'!$V$42</f>
        <v>2825.2932152053768</v>
      </c>
      <c r="R31" s="34">
        <f>+'[3]Colector San Luis II'!$U$42</f>
        <v>4.6279278276806659</v>
      </c>
      <c r="S31" s="44">
        <f t="shared" ref="S31:S45" si="32">1+(14/(4+(SQRT(Q31/1000))))</f>
        <v>3.4644152279667191</v>
      </c>
      <c r="T31" s="34">
        <f t="shared" ref="T31:T45" si="33">+S31*R31</f>
        <v>16.033063640147837</v>
      </c>
      <c r="U31" s="34">
        <f t="shared" si="25"/>
        <v>0.92558556553613325</v>
      </c>
      <c r="V31" s="34">
        <f t="shared" ref="V31:V45" si="34">+U31+T31</f>
        <v>16.958649205683969</v>
      </c>
      <c r="W31" s="34">
        <f>+'[3]Colector San Luis II'!$AA$42</f>
        <v>77.109986815257201</v>
      </c>
      <c r="X31" s="57">
        <f t="shared" ref="X31:X45" si="35">+W31+V31</f>
        <v>94.06863602094117</v>
      </c>
      <c r="Z31" s="46">
        <f t="shared" ref="Z31:Z45" si="36">+G31</f>
        <v>94.06863602094117</v>
      </c>
      <c r="AA31" s="34">
        <f t="shared" ref="AA31:AA45" si="37">+Z31-X31</f>
        <v>0</v>
      </c>
    </row>
    <row r="32" spans="1:27" x14ac:dyDescent="0.3">
      <c r="B32" s="2">
        <f t="shared" si="27"/>
        <v>2024</v>
      </c>
      <c r="C32" s="3">
        <f t="shared" si="28"/>
        <v>148.90679054371037</v>
      </c>
      <c r="D32" s="3">
        <f t="shared" si="16"/>
        <v>148.90679054371037</v>
      </c>
      <c r="E32" s="3">
        <f t="shared" si="29"/>
        <v>0.96927445496088582</v>
      </c>
      <c r="F32" s="3">
        <f t="shared" si="30"/>
        <v>500.00000000000006</v>
      </c>
      <c r="G32" s="3">
        <f>+'[4]Colector San Luis II'!$AB$42</f>
        <v>96.147840975808165</v>
      </c>
      <c r="H32" s="3">
        <f t="shared" si="17"/>
        <v>52.758949567902206</v>
      </c>
      <c r="J32" s="35">
        <f t="shared" si="18"/>
        <v>144.77641659120138</v>
      </c>
      <c r="K32" s="35">
        <f t="shared" si="19"/>
        <v>100.5568316821235</v>
      </c>
      <c r="L32" s="34">
        <f t="shared" si="20"/>
        <v>245.3332482733249</v>
      </c>
      <c r="M32" s="34">
        <f t="shared" si="21"/>
        <v>0.92711676794558651</v>
      </c>
      <c r="N32" s="34">
        <f t="shared" si="22"/>
        <v>451.81088906993847</v>
      </c>
      <c r="P32" s="56">
        <f t="shared" si="31"/>
        <v>2024</v>
      </c>
      <c r="Q32" s="9">
        <f>+'[4]Colector San Luis II'!$V$42</f>
        <v>2848.091014709069</v>
      </c>
      <c r="R32" s="34">
        <f>+'[4]Colector San Luis II'!$U$42</f>
        <v>4.7349590249074813</v>
      </c>
      <c r="S32" s="44">
        <f t="shared" si="32"/>
        <v>3.4614827122521912</v>
      </c>
      <c r="T32" s="34">
        <f t="shared" si="33"/>
        <v>16.389978807939737</v>
      </c>
      <c r="U32" s="34">
        <f t="shared" si="25"/>
        <v>0.94699180498149627</v>
      </c>
      <c r="V32" s="34">
        <f t="shared" si="34"/>
        <v>17.336970612921235</v>
      </c>
      <c r="W32" s="34">
        <f>+'[4]Colector San Luis II'!$AA$42</f>
        <v>78.810870362886931</v>
      </c>
      <c r="X32" s="57">
        <f t="shared" si="35"/>
        <v>96.147840975808165</v>
      </c>
      <c r="Z32" s="46">
        <f t="shared" si="36"/>
        <v>96.147840975808165</v>
      </c>
      <c r="AA32" s="34">
        <f t="shared" si="37"/>
        <v>0</v>
      </c>
    </row>
    <row r="33" spans="2:27" x14ac:dyDescent="0.3">
      <c r="B33" s="2">
        <f t="shared" si="27"/>
        <v>2025</v>
      </c>
      <c r="C33" s="3">
        <f t="shared" si="28"/>
        <v>148.90679054371037</v>
      </c>
      <c r="D33" s="3">
        <f t="shared" si="16"/>
        <v>148.90679054371037</v>
      </c>
      <c r="E33" s="3">
        <f t="shared" si="29"/>
        <v>0.96927445496088582</v>
      </c>
      <c r="F33" s="3">
        <f t="shared" si="30"/>
        <v>500.00000000000006</v>
      </c>
      <c r="G33" s="3">
        <f>+'[5]Colector San Luis II'!$AB$42</f>
        <v>98.232793979180542</v>
      </c>
      <c r="H33" s="3">
        <f t="shared" si="17"/>
        <v>50.67399656452983</v>
      </c>
      <c r="J33" s="35">
        <f t="shared" si="18"/>
        <v>147.91751395100709</v>
      </c>
      <c r="K33" s="35">
        <f t="shared" si="19"/>
        <v>97.415734322317803</v>
      </c>
      <c r="L33" s="34">
        <f t="shared" si="20"/>
        <v>245.3332482733249</v>
      </c>
      <c r="M33" s="34">
        <f t="shared" si="21"/>
        <v>0.92711676794558651</v>
      </c>
      <c r="N33" s="34">
        <f t="shared" si="22"/>
        <v>451.81088906993847</v>
      </c>
      <c r="P33" s="56">
        <f t="shared" si="31"/>
        <v>2025</v>
      </c>
      <c r="Q33" s="9">
        <f>+'[5]Colector San Luis II'!$V$42</f>
        <v>2870.9721699696306</v>
      </c>
      <c r="R33" s="34">
        <f>+'[5]Colector San Luis II'!$U$42</f>
        <v>4.8424709090545841</v>
      </c>
      <c r="S33" s="44">
        <f t="shared" si="32"/>
        <v>3.4585582190044022</v>
      </c>
      <c r="T33" s="34">
        <f t="shared" si="33"/>
        <v>16.747967562800451</v>
      </c>
      <c r="U33" s="34">
        <f t="shared" si="25"/>
        <v>0.96849418181091684</v>
      </c>
      <c r="V33" s="34">
        <f t="shared" si="34"/>
        <v>17.716461744611369</v>
      </c>
      <c r="W33" s="34">
        <f>+'[5]Colector San Luis II'!$AA$42</f>
        <v>80.516332234569177</v>
      </c>
      <c r="X33" s="57">
        <f t="shared" si="35"/>
        <v>98.232793979180542</v>
      </c>
      <c r="Z33" s="46">
        <f t="shared" si="36"/>
        <v>98.232793979180542</v>
      </c>
      <c r="AA33" s="34">
        <f t="shared" si="37"/>
        <v>0</v>
      </c>
    </row>
    <row r="34" spans="2:27" x14ac:dyDescent="0.3">
      <c r="B34" s="2">
        <f t="shared" si="27"/>
        <v>2026</v>
      </c>
      <c r="C34" s="3">
        <f t="shared" si="28"/>
        <v>148.90679054371037</v>
      </c>
      <c r="D34" s="3">
        <f t="shared" si="16"/>
        <v>148.90679054371037</v>
      </c>
      <c r="E34" s="3">
        <f t="shared" si="29"/>
        <v>0.96927445496088582</v>
      </c>
      <c r="F34" s="3">
        <f t="shared" si="30"/>
        <v>500.00000000000006</v>
      </c>
      <c r="G34" s="3">
        <f>+'[6]Colector San Luis II'!$AB$42</f>
        <v>100.33907999834094</v>
      </c>
      <c r="H34" s="3">
        <f t="shared" si="17"/>
        <v>48.567710545369437</v>
      </c>
      <c r="J34" s="35">
        <f t="shared" si="18"/>
        <v>151.09080225887342</v>
      </c>
      <c r="K34" s="35">
        <f t="shared" si="19"/>
        <v>94.242446014451474</v>
      </c>
      <c r="L34" s="34">
        <f t="shared" si="20"/>
        <v>245.3332482733249</v>
      </c>
      <c r="M34" s="34">
        <f t="shared" si="21"/>
        <v>0.92711676794558651</v>
      </c>
      <c r="N34" s="34">
        <f t="shared" si="22"/>
        <v>451.81088906993847</v>
      </c>
      <c r="P34" s="56">
        <f t="shared" si="31"/>
        <v>2026</v>
      </c>
      <c r="Q34" s="9">
        <f>+'[6]Colector San Luis II'!$V$42</f>
        <v>2893.9783588654959</v>
      </c>
      <c r="R34" s="34">
        <f>+'[6]Colector San Luis II'!$U$42</f>
        <v>4.9512418468844901</v>
      </c>
      <c r="S34" s="44">
        <f t="shared" si="32"/>
        <v>3.455636427082815</v>
      </c>
      <c r="T34" s="34">
        <f t="shared" si="33"/>
        <v>17.109691685390839</v>
      </c>
      <c r="U34" s="34">
        <f t="shared" si="25"/>
        <v>0.99024836937689809</v>
      </c>
      <c r="V34" s="34">
        <f t="shared" si="34"/>
        <v>18.099940054767735</v>
      </c>
      <c r="W34" s="34">
        <f>+'[6]Colector San Luis II'!$AA$42</f>
        <v>82.239139943573193</v>
      </c>
      <c r="X34" s="57">
        <f t="shared" si="35"/>
        <v>100.33907999834094</v>
      </c>
      <c r="Z34" s="46">
        <f t="shared" si="36"/>
        <v>100.33907999834094</v>
      </c>
      <c r="AA34" s="34">
        <f t="shared" si="37"/>
        <v>0</v>
      </c>
    </row>
    <row r="35" spans="2:27" x14ac:dyDescent="0.3">
      <c r="B35" s="2">
        <f t="shared" si="27"/>
        <v>2027</v>
      </c>
      <c r="C35" s="3">
        <f t="shared" si="28"/>
        <v>148.90679054371037</v>
      </c>
      <c r="D35" s="3">
        <f t="shared" si="16"/>
        <v>148.90679054371037</v>
      </c>
      <c r="E35" s="3">
        <f t="shared" si="29"/>
        <v>0.96927445496088582</v>
      </c>
      <c r="F35" s="3">
        <f t="shared" si="30"/>
        <v>500.00000000000006</v>
      </c>
      <c r="G35" s="3">
        <f>+'[7]Colector San Luis II'!$AB$42</f>
        <v>102.46276924777031</v>
      </c>
      <c r="H35" s="3">
        <f t="shared" si="17"/>
        <v>46.444021295940061</v>
      </c>
      <c r="J35" s="35">
        <f t="shared" si="18"/>
        <v>154.29036334102074</v>
      </c>
      <c r="K35" s="35">
        <f t="shared" si="19"/>
        <v>91.042884932304162</v>
      </c>
      <c r="L35" s="34">
        <f t="shared" si="20"/>
        <v>245.3332482733249</v>
      </c>
      <c r="M35" s="34">
        <f t="shared" si="21"/>
        <v>0.92711676794558651</v>
      </c>
      <c r="N35" s="34">
        <f t="shared" si="22"/>
        <v>451.81088906993847</v>
      </c>
      <c r="P35" s="56">
        <f t="shared" si="31"/>
        <v>2027</v>
      </c>
      <c r="Q35" s="9">
        <f>+'[7]Colector San Luis II'!$V$42</f>
        <v>2917.0887424574471</v>
      </c>
      <c r="R35" s="34">
        <f>+'[7]Colector San Luis II'!$U$42</f>
        <v>5.0610763167069317</v>
      </c>
      <c r="S35" s="44">
        <f t="shared" si="32"/>
        <v>3.4527200137435199</v>
      </c>
      <c r="T35" s="34">
        <f t="shared" si="33"/>
        <v>17.474479489777359</v>
      </c>
      <c r="U35" s="34">
        <f t="shared" si="25"/>
        <v>1.0122152633413863</v>
      </c>
      <c r="V35" s="34">
        <f t="shared" si="34"/>
        <v>18.486694753118744</v>
      </c>
      <c r="W35" s="34">
        <f>+'[7]Colector San Luis II'!$AA$42</f>
        <v>83.97607449465157</v>
      </c>
      <c r="X35" s="57">
        <f t="shared" si="35"/>
        <v>102.46276924777031</v>
      </c>
      <c r="Z35" s="46">
        <f t="shared" si="36"/>
        <v>102.46276924777031</v>
      </c>
      <c r="AA35" s="34">
        <f t="shared" si="37"/>
        <v>0</v>
      </c>
    </row>
    <row r="36" spans="2:27" x14ac:dyDescent="0.3">
      <c r="B36" s="2">
        <f t="shared" si="27"/>
        <v>2028</v>
      </c>
      <c r="C36" s="3">
        <f t="shared" si="28"/>
        <v>148.90679054371037</v>
      </c>
      <c r="D36" s="3">
        <f t="shared" si="16"/>
        <v>148.90679054371037</v>
      </c>
      <c r="E36" s="3">
        <f t="shared" si="29"/>
        <v>0.96927445496088582</v>
      </c>
      <c r="F36" s="3">
        <f t="shared" si="30"/>
        <v>500.00000000000006</v>
      </c>
      <c r="G36" s="3">
        <f>+'[8]Colector San Luis II'!$AB$42</f>
        <v>104.61196855032952</v>
      </c>
      <c r="H36" s="3">
        <f t="shared" si="17"/>
        <v>44.29482199338085</v>
      </c>
      <c r="J36" s="35">
        <f t="shared" si="18"/>
        <v>157.52840693014221</v>
      </c>
      <c r="K36" s="35">
        <f t="shared" si="19"/>
        <v>87.804841343182687</v>
      </c>
      <c r="L36" s="34">
        <f t="shared" si="20"/>
        <v>245.3332482733249</v>
      </c>
      <c r="M36" s="34">
        <f t="shared" si="21"/>
        <v>0.92711676794558651</v>
      </c>
      <c r="N36" s="34">
        <f t="shared" si="22"/>
        <v>451.81088906993847</v>
      </c>
      <c r="P36" s="56">
        <f t="shared" si="31"/>
        <v>2028</v>
      </c>
      <c r="Q36" s="9">
        <f>+'[8]Colector San Luis II'!$V$42</f>
        <v>2940.324159684702</v>
      </c>
      <c r="R36" s="34">
        <f>+'[8]Colector San Luis II'!$U$42</f>
        <v>5.1723820753939336</v>
      </c>
      <c r="S36" s="44">
        <f t="shared" si="32"/>
        <v>3.4498063789658042</v>
      </c>
      <c r="T36" s="34">
        <f t="shared" si="33"/>
        <v>17.843716678142378</v>
      </c>
      <c r="U36" s="34">
        <f t="shared" si="25"/>
        <v>1.0344764150787868</v>
      </c>
      <c r="V36" s="34">
        <f t="shared" si="34"/>
        <v>18.878193093221164</v>
      </c>
      <c r="W36" s="34">
        <f>+'[8]Colector San Luis II'!$AA$42</f>
        <v>85.733775457108365</v>
      </c>
      <c r="X36" s="57">
        <f t="shared" si="35"/>
        <v>104.61196855032952</v>
      </c>
      <c r="Z36" s="46">
        <f t="shared" si="36"/>
        <v>104.61196855032952</v>
      </c>
      <c r="AA36" s="34">
        <f t="shared" si="37"/>
        <v>0</v>
      </c>
    </row>
    <row r="37" spans="2:27" x14ac:dyDescent="0.3">
      <c r="B37" s="2">
        <f t="shared" si="27"/>
        <v>2029</v>
      </c>
      <c r="C37" s="3">
        <f t="shared" si="28"/>
        <v>148.90679054371037</v>
      </c>
      <c r="D37" s="3">
        <f t="shared" si="16"/>
        <v>148.90679054371037</v>
      </c>
      <c r="E37" s="3">
        <f t="shared" si="29"/>
        <v>0.96927445496088582</v>
      </c>
      <c r="F37" s="3">
        <f t="shared" si="30"/>
        <v>500.00000000000006</v>
      </c>
      <c r="G37" s="3">
        <f>+'[9]Colector San Luis II'!$AB$42</f>
        <v>106.76612733265215</v>
      </c>
      <c r="H37" s="3">
        <f t="shared" si="17"/>
        <v>42.140663211058225</v>
      </c>
      <c r="J37" s="35">
        <f t="shared" si="18"/>
        <v>160.77398485408503</v>
      </c>
      <c r="K37" s="35">
        <f t="shared" si="19"/>
        <v>84.559263419239883</v>
      </c>
      <c r="L37" s="34">
        <f t="shared" si="20"/>
        <v>245.3332482733249</v>
      </c>
      <c r="M37" s="34">
        <f t="shared" si="21"/>
        <v>0.92711676794558651</v>
      </c>
      <c r="N37" s="34">
        <f t="shared" si="22"/>
        <v>451.81088906993847</v>
      </c>
      <c r="P37" s="56">
        <f t="shared" si="31"/>
        <v>2029</v>
      </c>
      <c r="Q37" s="9">
        <f>+'[9]Colector San Luis II'!$V$42</f>
        <v>2963.6429326688267</v>
      </c>
      <c r="R37" s="34">
        <f>+'[9]Colector San Luis II'!$U$42</f>
        <v>5.2841363953799645</v>
      </c>
      <c r="S37" s="44">
        <f t="shared" si="32"/>
        <v>3.4469007533233547</v>
      </c>
      <c r="T37" s="34">
        <f t="shared" si="33"/>
        <v>18.213893721898554</v>
      </c>
      <c r="U37" s="34">
        <f t="shared" si="25"/>
        <v>1.0568272790759929</v>
      </c>
      <c r="V37" s="34">
        <f t="shared" si="34"/>
        <v>19.270721000974547</v>
      </c>
      <c r="W37" s="34">
        <f>+'[9]Colector San Luis II'!$AA$42</f>
        <v>87.4954063316776</v>
      </c>
      <c r="X37" s="57">
        <f t="shared" si="35"/>
        <v>106.76612733265215</v>
      </c>
      <c r="Z37" s="46">
        <f t="shared" si="36"/>
        <v>106.76612733265215</v>
      </c>
      <c r="AA37" s="34">
        <f t="shared" si="37"/>
        <v>0</v>
      </c>
    </row>
    <row r="38" spans="2:27" x14ac:dyDescent="0.3">
      <c r="B38" s="2">
        <f t="shared" si="27"/>
        <v>2030</v>
      </c>
      <c r="C38" s="3">
        <f t="shared" si="28"/>
        <v>148.90679054371037</v>
      </c>
      <c r="D38" s="3">
        <f t="shared" si="16"/>
        <v>148.90679054371037</v>
      </c>
      <c r="E38" s="3">
        <f t="shared" si="29"/>
        <v>0.96927445496088582</v>
      </c>
      <c r="F38" s="3">
        <f t="shared" si="30"/>
        <v>500.00000000000006</v>
      </c>
      <c r="G38" s="3">
        <f>+'[10]Colector San Luis II'!$AB$42</f>
        <v>108.94167383355907</v>
      </c>
      <c r="H38" s="3">
        <f t="shared" si="17"/>
        <v>39.965116710151307</v>
      </c>
      <c r="J38" s="35">
        <f t="shared" si="18"/>
        <v>164.05183902190754</v>
      </c>
      <c r="K38" s="35">
        <f t="shared" si="19"/>
        <v>81.281409251417344</v>
      </c>
      <c r="L38" s="34">
        <f t="shared" si="20"/>
        <v>245.3332482733249</v>
      </c>
      <c r="M38" s="34">
        <f t="shared" si="21"/>
        <v>0.92711676794558651</v>
      </c>
      <c r="N38" s="34">
        <f t="shared" si="22"/>
        <v>451.81088906993847</v>
      </c>
      <c r="P38" s="56">
        <f t="shared" si="31"/>
        <v>2030</v>
      </c>
      <c r="Q38" s="9">
        <f>+'[10]Colector San Luis II'!$V$42</f>
        <v>2987.0867392882537</v>
      </c>
      <c r="R38" s="34">
        <f>+'[10]Colector San Luis II'!$U$42</f>
        <v>5.3971629180731471</v>
      </c>
      <c r="S38" s="44">
        <f t="shared" si="32"/>
        <v>3.4439979472701254</v>
      </c>
      <c r="T38" s="34">
        <f t="shared" si="33"/>
        <v>18.587818010926359</v>
      </c>
      <c r="U38" s="34">
        <f t="shared" si="25"/>
        <v>1.0794325836146295</v>
      </c>
      <c r="V38" s="34">
        <f t="shared" si="34"/>
        <v>19.667250594540988</v>
      </c>
      <c r="W38" s="34">
        <f>+'[10]Colector San Luis II'!$AA$42</f>
        <v>89.274423239018077</v>
      </c>
      <c r="X38" s="57">
        <f t="shared" si="35"/>
        <v>108.94167383355907</v>
      </c>
      <c r="Z38" s="46">
        <f t="shared" si="36"/>
        <v>108.94167383355907</v>
      </c>
      <c r="AA38" s="34">
        <f t="shared" si="37"/>
        <v>0</v>
      </c>
    </row>
    <row r="39" spans="2:27" x14ac:dyDescent="0.3">
      <c r="B39" s="2">
        <f t="shared" si="27"/>
        <v>2031</v>
      </c>
      <c r="C39" s="3">
        <f t="shared" si="28"/>
        <v>148.90679054371037</v>
      </c>
      <c r="D39" s="3">
        <f t="shared" si="16"/>
        <v>148.90679054371037</v>
      </c>
      <c r="E39" s="3">
        <f t="shared" si="29"/>
        <v>0.96927445496088582</v>
      </c>
      <c r="F39" s="3">
        <f t="shared" si="30"/>
        <v>500.00000000000006</v>
      </c>
      <c r="G39" s="3">
        <f>+'[11]Colector San Luis II'!$AB$42</f>
        <v>111.1343375739503</v>
      </c>
      <c r="H39" s="3">
        <f t="shared" si="17"/>
        <v>37.772452969760067</v>
      </c>
      <c r="J39" s="35">
        <f t="shared" si="18"/>
        <v>167.35553947064872</v>
      </c>
      <c r="K39" s="35">
        <f t="shared" si="19"/>
        <v>77.977708802676176</v>
      </c>
      <c r="L39" s="34">
        <f t="shared" si="20"/>
        <v>245.3332482733249</v>
      </c>
      <c r="M39" s="34">
        <f t="shared" si="21"/>
        <v>0.92711676794558651</v>
      </c>
      <c r="N39" s="34">
        <f t="shared" si="22"/>
        <v>451.81088906993847</v>
      </c>
      <c r="P39" s="56">
        <f t="shared" si="31"/>
        <v>2031</v>
      </c>
      <c r="Q39" s="9">
        <f>+'[11]Colector San Luis II'!$V$42</f>
        <v>3010.6555795429854</v>
      </c>
      <c r="R39" s="34">
        <f>+'[11]Colector San Luis II'!$U$42</f>
        <v>5.5112529727588653</v>
      </c>
      <c r="S39" s="44">
        <f t="shared" si="32"/>
        <v>3.4410980128950421</v>
      </c>
      <c r="T39" s="34">
        <f t="shared" si="33"/>
        <v>18.964761653122427</v>
      </c>
      <c r="U39" s="34">
        <f t="shared" si="25"/>
        <v>1.1022505945517731</v>
      </c>
      <c r="V39" s="34">
        <f t="shared" si="34"/>
        <v>20.067012247674199</v>
      </c>
      <c r="W39" s="34">
        <f>+'[11]Colector San Luis II'!$AA$42</f>
        <v>91.067325326276105</v>
      </c>
      <c r="X39" s="57">
        <f t="shared" si="35"/>
        <v>111.1343375739503</v>
      </c>
      <c r="Z39" s="46">
        <f t="shared" si="36"/>
        <v>111.1343375739503</v>
      </c>
      <c r="AA39" s="34">
        <f t="shared" si="37"/>
        <v>0</v>
      </c>
    </row>
    <row r="40" spans="2:27" x14ac:dyDescent="0.3">
      <c r="B40" s="2">
        <f t="shared" si="27"/>
        <v>2032</v>
      </c>
      <c r="C40" s="3">
        <f t="shared" si="28"/>
        <v>148.90679054371037</v>
      </c>
      <c r="D40" s="3">
        <f t="shared" si="16"/>
        <v>148.90679054371037</v>
      </c>
      <c r="E40" s="3">
        <f t="shared" si="29"/>
        <v>0.96927445496088582</v>
      </c>
      <c r="F40" s="3">
        <f t="shared" si="30"/>
        <v>500.00000000000006</v>
      </c>
      <c r="G40" s="3">
        <f>+'[12]Colector San Luis II'!$AB$42</f>
        <v>113.3526653265873</v>
      </c>
      <c r="H40" s="3">
        <f t="shared" si="17"/>
        <v>35.554125217123072</v>
      </c>
      <c r="J40" s="35">
        <f t="shared" si="18"/>
        <v>170.69795747013978</v>
      </c>
      <c r="K40" s="35">
        <f t="shared" si="19"/>
        <v>74.6352908031851</v>
      </c>
      <c r="L40" s="34">
        <f t="shared" si="20"/>
        <v>245.3332482733249</v>
      </c>
      <c r="M40" s="34">
        <f t="shared" si="21"/>
        <v>0.92711676794558651</v>
      </c>
      <c r="N40" s="34">
        <f t="shared" si="22"/>
        <v>451.81088906993847</v>
      </c>
      <c r="P40" s="56">
        <f t="shared" si="31"/>
        <v>2032</v>
      </c>
      <c r="Q40" s="9">
        <f>+'[12]Colector San Luis II'!$V$42</f>
        <v>3034.3494534330202</v>
      </c>
      <c r="R40" s="34">
        <f>+'[12]Colector San Luis II'!$U$42</f>
        <v>5.6268332929060501</v>
      </c>
      <c r="S40" s="44">
        <f t="shared" si="32"/>
        <v>3.4382010011083546</v>
      </c>
      <c r="T40" s="34">
        <f t="shared" si="33"/>
        <v>19.346183860739401</v>
      </c>
      <c r="U40" s="34">
        <f t="shared" si="25"/>
        <v>1.1253666585812101</v>
      </c>
      <c r="V40" s="34">
        <f t="shared" si="34"/>
        <v>20.471550519320612</v>
      </c>
      <c r="W40" s="34">
        <f>+'[12]Colector San Luis II'!$AA$42</f>
        <v>92.881114807266684</v>
      </c>
      <c r="X40" s="57">
        <f t="shared" si="35"/>
        <v>113.3526653265873</v>
      </c>
      <c r="Z40" s="46">
        <f t="shared" si="36"/>
        <v>113.3526653265873</v>
      </c>
      <c r="AA40" s="34">
        <f t="shared" si="37"/>
        <v>0</v>
      </c>
    </row>
    <row r="41" spans="2:27" x14ac:dyDescent="0.3">
      <c r="B41" s="2">
        <f t="shared" si="27"/>
        <v>2033</v>
      </c>
      <c r="C41" s="3">
        <f t="shared" si="28"/>
        <v>148.90679054371037</v>
      </c>
      <c r="D41" s="3">
        <f t="shared" si="16"/>
        <v>148.90679054371037</v>
      </c>
      <c r="E41" s="3">
        <f t="shared" si="29"/>
        <v>0.96927445496088582</v>
      </c>
      <c r="F41" s="3">
        <f t="shared" si="30"/>
        <v>500.00000000000006</v>
      </c>
      <c r="G41" s="3">
        <f>+'[13]Colector San Luis II'!$AB$42</f>
        <v>115.57487140895331</v>
      </c>
      <c r="H41" s="3">
        <f t="shared" si="17"/>
        <v>33.331919134757058</v>
      </c>
      <c r="J41" s="35">
        <f t="shared" si="18"/>
        <v>174.04628831875391</v>
      </c>
      <c r="K41" s="35">
        <f t="shared" si="19"/>
        <v>71.286959954570989</v>
      </c>
      <c r="L41" s="34">
        <f t="shared" si="20"/>
        <v>245.3332482733249</v>
      </c>
      <c r="M41" s="34">
        <f t="shared" si="21"/>
        <v>0.92711676794558651</v>
      </c>
      <c r="N41" s="34">
        <f t="shared" si="22"/>
        <v>451.81088906993847</v>
      </c>
      <c r="P41" s="56">
        <f t="shared" si="31"/>
        <v>2033</v>
      </c>
      <c r="Q41" s="9">
        <f>+'[13]Colector San Luis II'!$V$42</f>
        <v>3058.1891998975766</v>
      </c>
      <c r="R41" s="34">
        <f>+'[13]Colector San Luis II'!$U$42</f>
        <v>5.7428300487310109</v>
      </c>
      <c r="S41" s="44">
        <f t="shared" si="32"/>
        <v>3.4353044376411535</v>
      </c>
      <c r="T41" s="34">
        <f t="shared" si="33"/>
        <v>19.728369551024603</v>
      </c>
      <c r="U41" s="34">
        <f t="shared" ref="U41:U45" si="38">+R41*$U$28</f>
        <v>1.1485660097462023</v>
      </c>
      <c r="V41" s="34">
        <f t="shared" si="34"/>
        <v>20.876935560770804</v>
      </c>
      <c r="W41" s="34">
        <f>+'[13]Colector San Luis II'!$AA$42</f>
        <v>94.69793584818251</v>
      </c>
      <c r="X41" s="57">
        <f t="shared" si="35"/>
        <v>115.57487140895331</v>
      </c>
      <c r="Z41" s="46">
        <f t="shared" si="36"/>
        <v>115.57487140895331</v>
      </c>
      <c r="AA41" s="34">
        <f t="shared" si="37"/>
        <v>0</v>
      </c>
    </row>
    <row r="42" spans="2:27" x14ac:dyDescent="0.3">
      <c r="B42" s="2">
        <f t="shared" si="27"/>
        <v>2034</v>
      </c>
      <c r="C42" s="3">
        <f t="shared" si="28"/>
        <v>148.90679054371037</v>
      </c>
      <c r="D42" s="3">
        <f t="shared" si="16"/>
        <v>148.90679054371037</v>
      </c>
      <c r="E42" s="3">
        <f t="shared" si="29"/>
        <v>0.96927445496088582</v>
      </c>
      <c r="F42" s="3">
        <f t="shared" si="30"/>
        <v>500.00000000000006</v>
      </c>
      <c r="G42" s="3">
        <f>+'[14]Colector San Luis II'!$AB$42</f>
        <v>117.81871438051417</v>
      </c>
      <c r="H42" s="3">
        <f t="shared" si="17"/>
        <v>31.088076163196206</v>
      </c>
      <c r="J42" s="35">
        <f t="shared" si="18"/>
        <v>177.42727026723958</v>
      </c>
      <c r="K42" s="35">
        <f t="shared" si="19"/>
        <v>67.90597800608532</v>
      </c>
      <c r="L42" s="34">
        <f t="shared" si="20"/>
        <v>245.3332482733249</v>
      </c>
      <c r="M42" s="34">
        <f t="shared" si="21"/>
        <v>0.92711676794558651</v>
      </c>
      <c r="N42" s="34">
        <f t="shared" si="22"/>
        <v>451.81088906993847</v>
      </c>
      <c r="P42" s="56">
        <f t="shared" si="31"/>
        <v>2034</v>
      </c>
      <c r="Q42" s="9">
        <f>+'[14]Colector San Luis II'!$V$42</f>
        <v>3082.112302119001</v>
      </c>
      <c r="R42" s="34">
        <f>+'[14]Colector San Luis II'!$U$42</f>
        <v>5.860112156287471</v>
      </c>
      <c r="S42" s="44">
        <f t="shared" si="32"/>
        <v>3.4324159431756787</v>
      </c>
      <c r="T42" s="34">
        <f t="shared" si="33"/>
        <v>20.114342394038719</v>
      </c>
      <c r="U42" s="34">
        <f t="shared" si="38"/>
        <v>1.1720224312574943</v>
      </c>
      <c r="V42" s="34">
        <f t="shared" si="34"/>
        <v>21.286364825296214</v>
      </c>
      <c r="W42" s="34">
        <f>+'[14]Colector San Luis II'!$AA$42</f>
        <v>96.532349555217948</v>
      </c>
      <c r="X42" s="57">
        <f t="shared" si="35"/>
        <v>117.81871438051417</v>
      </c>
      <c r="Z42" s="46">
        <f t="shared" si="36"/>
        <v>117.81871438051417</v>
      </c>
      <c r="AA42" s="34">
        <f t="shared" si="37"/>
        <v>0</v>
      </c>
    </row>
    <row r="43" spans="2:27" x14ac:dyDescent="0.3">
      <c r="B43" s="2">
        <f t="shared" si="27"/>
        <v>2035</v>
      </c>
      <c r="C43" s="3">
        <f t="shared" si="28"/>
        <v>148.90679054371037</v>
      </c>
      <c r="D43" s="3">
        <f t="shared" si="16"/>
        <v>148.90679054371037</v>
      </c>
      <c r="E43" s="3">
        <f t="shared" si="29"/>
        <v>0.96927445496088582</v>
      </c>
      <c r="F43" s="3">
        <f t="shared" si="30"/>
        <v>500.00000000000006</v>
      </c>
      <c r="G43" s="3">
        <f>+'[15]Colector San Luis II'!$AB$42</f>
        <v>120.07927508736893</v>
      </c>
      <c r="H43" s="3">
        <f t="shared" si="17"/>
        <v>28.827515456341445</v>
      </c>
      <c r="J43" s="35">
        <f t="shared" si="18"/>
        <v>180.83350288111137</v>
      </c>
      <c r="K43" s="35">
        <f t="shared" si="19"/>
        <v>64.499745392213526</v>
      </c>
      <c r="L43" s="34">
        <f t="shared" si="20"/>
        <v>245.3332482733249</v>
      </c>
      <c r="M43" s="34">
        <f t="shared" si="21"/>
        <v>0.92711676794558651</v>
      </c>
      <c r="N43" s="34">
        <f t="shared" si="22"/>
        <v>451.81088906993847</v>
      </c>
      <c r="P43" s="56">
        <f t="shared" si="31"/>
        <v>2035</v>
      </c>
      <c r="Q43" s="9">
        <f>+'[15]Colector San Luis II'!$V$42</f>
        <v>3106.2021158541647</v>
      </c>
      <c r="R43" s="34">
        <f>+'[15]Colector San Luis II'!$U$42</f>
        <v>5.9784577958364649</v>
      </c>
      <c r="S43" s="44">
        <f t="shared" si="32"/>
        <v>3.4295255005805232</v>
      </c>
      <c r="T43" s="34">
        <f t="shared" si="33"/>
        <v>20.503273464965584</v>
      </c>
      <c r="U43" s="34">
        <f t="shared" si="38"/>
        <v>1.195691559167293</v>
      </c>
      <c r="V43" s="34">
        <f t="shared" si="34"/>
        <v>21.698965024132878</v>
      </c>
      <c r="W43" s="34">
        <f>+'[15]Colector San Luis II'!$AA$42</f>
        <v>98.380310063236053</v>
      </c>
      <c r="X43" s="57">
        <f t="shared" si="35"/>
        <v>120.07927508736893</v>
      </c>
      <c r="Z43" s="46">
        <f t="shared" si="36"/>
        <v>120.07927508736893</v>
      </c>
      <c r="AA43" s="34">
        <f t="shared" si="37"/>
        <v>0</v>
      </c>
    </row>
    <row r="44" spans="2:27" x14ac:dyDescent="0.3">
      <c r="B44" s="2">
        <f t="shared" si="27"/>
        <v>2036</v>
      </c>
      <c r="C44" s="3">
        <f t="shared" si="28"/>
        <v>148.90679054371037</v>
      </c>
      <c r="D44" s="3">
        <f t="shared" si="16"/>
        <v>148.90679054371037</v>
      </c>
      <c r="E44" s="3">
        <f t="shared" si="29"/>
        <v>0.96927445496088582</v>
      </c>
      <c r="F44" s="3">
        <f t="shared" si="30"/>
        <v>500.00000000000006</v>
      </c>
      <c r="G44" s="3">
        <f>+'[16]Colector San Luis II'!$AB$42</f>
        <v>122.36575165985471</v>
      </c>
      <c r="H44" s="3">
        <f t="shared" si="17"/>
        <v>26.541038883855663</v>
      </c>
      <c r="J44" s="35">
        <f t="shared" si="18"/>
        <v>184.2788338302025</v>
      </c>
      <c r="K44" s="35">
        <f t="shared" si="19"/>
        <v>61.054414443122397</v>
      </c>
      <c r="L44" s="34">
        <f t="shared" si="20"/>
        <v>245.3332482733249</v>
      </c>
      <c r="M44" s="34">
        <f t="shared" si="21"/>
        <v>0.92711676794558651</v>
      </c>
      <c r="N44" s="34">
        <f t="shared" si="22"/>
        <v>451.81088906993847</v>
      </c>
      <c r="P44" s="56">
        <f t="shared" si="31"/>
        <v>2036</v>
      </c>
      <c r="Q44" s="9">
        <f>+'[16]Colector San Luis II'!$V$42</f>
        <v>3130.3961242854134</v>
      </c>
      <c r="R44" s="34">
        <f>+'[16]Colector San Luis II'!$U$42</f>
        <v>6.0983126774438388</v>
      </c>
      <c r="S44" s="44">
        <f t="shared" si="32"/>
        <v>3.4266406809608765</v>
      </c>
      <c r="T44" s="34">
        <f t="shared" si="33"/>
        <v>20.896726305748501</v>
      </c>
      <c r="U44" s="34">
        <f t="shared" si="38"/>
        <v>1.2196625354887678</v>
      </c>
      <c r="V44" s="34">
        <f t="shared" si="34"/>
        <v>22.116388841237271</v>
      </c>
      <c r="W44" s="34">
        <f>+'[16]Colector San Luis II'!$AA$42</f>
        <v>100.24936281861744</v>
      </c>
      <c r="X44" s="57">
        <f t="shared" si="35"/>
        <v>122.36575165985471</v>
      </c>
      <c r="Z44" s="46">
        <f t="shared" si="36"/>
        <v>122.36575165985471</v>
      </c>
      <c r="AA44" s="34">
        <f t="shared" si="37"/>
        <v>0</v>
      </c>
    </row>
    <row r="45" spans="2:27" ht="13.8" thickBot="1" x14ac:dyDescent="0.35">
      <c r="B45" s="2">
        <f t="shared" si="27"/>
        <v>2037</v>
      </c>
      <c r="C45" s="3">
        <f t="shared" si="28"/>
        <v>148.90679054371037</v>
      </c>
      <c r="D45" s="3">
        <f t="shared" si="16"/>
        <v>148.90679054371037</v>
      </c>
      <c r="E45" s="3">
        <f t="shared" si="29"/>
        <v>0.96927445496088582</v>
      </c>
      <c r="F45" s="3">
        <f t="shared" si="30"/>
        <v>500.00000000000006</v>
      </c>
      <c r="G45" s="3">
        <f>+'[17]Colector San Luis II'!$AB$42</f>
        <v>124.65531320749812</v>
      </c>
      <c r="H45" s="3">
        <f t="shared" si="17"/>
        <v>24.251477336212247</v>
      </c>
      <c r="J45" s="35">
        <f t="shared" si="18"/>
        <v>187.72888467380034</v>
      </c>
      <c r="K45" s="35">
        <f t="shared" si="19"/>
        <v>57.604363599524547</v>
      </c>
      <c r="L45" s="34">
        <f t="shared" si="20"/>
        <v>245.3332482733249</v>
      </c>
      <c r="M45" s="34">
        <f t="shared" si="21"/>
        <v>0.92711676794558651</v>
      </c>
      <c r="N45" s="34">
        <f t="shared" si="22"/>
        <v>451.81088906993847</v>
      </c>
      <c r="P45" s="58">
        <f t="shared" si="31"/>
        <v>2037</v>
      </c>
      <c r="Q45" s="59">
        <f>+'[17]Colector San Luis II'!$V$42</f>
        <v>3154.736005291184</v>
      </c>
      <c r="R45" s="60">
        <f>+'[17]Colector San Luis II'!$U$42</f>
        <v>6.2185518691077277</v>
      </c>
      <c r="S45" s="61">
        <f t="shared" si="32"/>
        <v>3.4237565598281061</v>
      </c>
      <c r="T45" s="60">
        <f t="shared" si="33"/>
        <v>21.290807754488913</v>
      </c>
      <c r="U45" s="60">
        <f t="shared" si="38"/>
        <v>1.2437103738215456</v>
      </c>
      <c r="V45" s="60">
        <f t="shared" si="34"/>
        <v>22.534518128310459</v>
      </c>
      <c r="W45" s="60">
        <f>+'[17]Colector San Luis II'!$AA$42</f>
        <v>102.12079507918766</v>
      </c>
      <c r="X45" s="62">
        <f t="shared" si="35"/>
        <v>124.65531320749812</v>
      </c>
      <c r="Z45" s="46">
        <f t="shared" si="36"/>
        <v>124.65531320749812</v>
      </c>
      <c r="AA45" s="34">
        <f t="shared" si="37"/>
        <v>0</v>
      </c>
    </row>
    <row r="46" spans="2:27" x14ac:dyDescent="0.3">
      <c r="M46" s="34"/>
    </row>
  </sheetData>
  <mergeCells count="10">
    <mergeCell ref="B28:B29"/>
    <mergeCell ref="C28:C29"/>
    <mergeCell ref="D28:F28"/>
    <mergeCell ref="G28:G29"/>
    <mergeCell ref="H28:H29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1:D4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68</v>
      </c>
      <c r="E2" s="6" t="s">
        <v>7</v>
      </c>
      <c r="F2" s="7">
        <f>+'[17]Colector San Luis I'!$N$19</f>
        <v>178.69</v>
      </c>
      <c r="G2" s="8" t="s">
        <v>8</v>
      </c>
      <c r="I2" s="16" t="s">
        <v>65</v>
      </c>
      <c r="J2" s="17">
        <v>190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123</v>
      </c>
      <c r="P3" s="12" t="s">
        <v>124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 t="s">
        <v>125</v>
      </c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Ruben Dario'!B6</f>
        <v>2022</v>
      </c>
      <c r="C6" s="3">
        <f>+SUMPRODUCT('[17]Colector San Luis I'!$AL$17:$AL$19,'[17]Colector San Luis I'!$M$17:$M$19)/F2*0+'[17]Colector San Luis I'!$AL$17</f>
        <v>225.94551961038727</v>
      </c>
      <c r="D6" s="3">
        <f t="shared" ref="D6:D21" si="0">+C6</f>
        <v>225.94551961038727</v>
      </c>
      <c r="E6" s="3">
        <f>D6/(0.25*PI()*(F6/1000)^2)/1000/2</f>
        <v>1.2513012313657277</v>
      </c>
      <c r="F6" s="3">
        <f>+SUMPRODUCT('[17]Colector San Luis I'!$F$17:$F$19,'[17]Colector San Luis I'!$M$17:$M$19)/F2/2</f>
        <v>339.04784822877616</v>
      </c>
      <c r="G6" s="3">
        <f>+'[2]Colector San Luis I'!$AB$19</f>
        <v>54.201347700099895</v>
      </c>
      <c r="H6" s="3">
        <f t="shared" ref="H6:H21" si="1">+D6-G6</f>
        <v>171.74417191028738</v>
      </c>
      <c r="L6" s="56">
        <f t="shared" ref="L6:L21" si="2">+B6</f>
        <v>2022</v>
      </c>
      <c r="M6" s="9">
        <f>+'[2]Colector San Luis I'!$V$17</f>
        <v>1366.1165245805489</v>
      </c>
      <c r="N6" s="35">
        <f>+'[2]Colector San Luis I'!$U$17</f>
        <v>2.2275515378982016</v>
      </c>
      <c r="O6" s="44">
        <f t="shared" ref="O6" si="3">1+(14/(4+(SQRT(M6/1000))))</f>
        <v>3.7085538717379465</v>
      </c>
      <c r="P6" s="34">
        <f t="shared" ref="P6" si="4">+O6*N6</f>
        <v>8.2609948803681927</v>
      </c>
      <c r="Q6" s="34">
        <f t="shared" ref="Q6:Q21" si="5">+N6*$Q$4</f>
        <v>0.44551030757964033</v>
      </c>
      <c r="R6" s="34">
        <f t="shared" ref="R6" si="6">+Q6+P6</f>
        <v>8.7065051879478332</v>
      </c>
      <c r="S6" s="34">
        <f>+'[2]Colector San Luis I'!$AA$17</f>
        <v>45.494842512152061</v>
      </c>
      <c r="T6" s="57">
        <f>+S6+R6</f>
        <v>54.201347700099895</v>
      </c>
      <c r="V6" s="46">
        <f t="shared" ref="V6:V21" si="7">+G6</f>
        <v>54.201347700099895</v>
      </c>
      <c r="W6" s="34">
        <f>+V6-T6</f>
        <v>0</v>
      </c>
    </row>
    <row r="7" spans="1:23" x14ac:dyDescent="0.3">
      <c r="B7" s="2">
        <f t="shared" ref="B7:B21" si="8">+B6+1</f>
        <v>2023</v>
      </c>
      <c r="C7" s="3">
        <f t="shared" ref="C7:C21" si="9">+C6</f>
        <v>225.94551961038727</v>
      </c>
      <c r="D7" s="3">
        <f t="shared" si="0"/>
        <v>225.94551961038727</v>
      </c>
      <c r="E7" s="3">
        <f t="shared" ref="E7:F21" si="10">+E6</f>
        <v>1.2513012313657277</v>
      </c>
      <c r="F7" s="3">
        <f t="shared" si="10"/>
        <v>339.04784822877616</v>
      </c>
      <c r="G7" s="3">
        <f>+'[3]Colector San Luis I'!$AB$19</f>
        <v>55.854392606896567</v>
      </c>
      <c r="H7" s="3">
        <f t="shared" si="1"/>
        <v>170.0911270034907</v>
      </c>
      <c r="L7" s="56">
        <f t="shared" si="2"/>
        <v>2023</v>
      </c>
      <c r="M7" s="9">
        <f>+'[3]Colector San Luis I'!$V$17</f>
        <v>1377.1784359627356</v>
      </c>
      <c r="N7" s="35">
        <f>+'[3]Colector San Luis I'!$U$17</f>
        <v>2.2978371922951122</v>
      </c>
      <c r="O7" s="44">
        <f t="shared" ref="O7:O20" si="11">1+(14/(4+(SQRT(M7/1000))))</f>
        <v>3.7060814069993739</v>
      </c>
      <c r="P7" s="34">
        <f t="shared" ref="P7:P20" si="12">+O7*N7</f>
        <v>8.5159716946765602</v>
      </c>
      <c r="Q7" s="34">
        <f t="shared" si="5"/>
        <v>0.45956743845902248</v>
      </c>
      <c r="R7" s="34">
        <f t="shared" ref="R7:R20" si="13">+Q7+P7</f>
        <v>8.975539133135582</v>
      </c>
      <c r="S7" s="34">
        <f>+'[3]Colector San Luis I'!$AA$17</f>
        <v>46.878853473760984</v>
      </c>
      <c r="T7" s="57">
        <f t="shared" ref="T7:T20" si="14">+S7+R7</f>
        <v>55.854392606896567</v>
      </c>
      <c r="V7" s="46">
        <f t="shared" si="7"/>
        <v>55.854392606896567</v>
      </c>
      <c r="W7" s="34">
        <f t="shared" ref="W7:W20" si="15">+V7-T7</f>
        <v>0</v>
      </c>
    </row>
    <row r="8" spans="1:23" x14ac:dyDescent="0.3">
      <c r="B8" s="2">
        <f t="shared" si="8"/>
        <v>2024</v>
      </c>
      <c r="C8" s="3">
        <f t="shared" si="9"/>
        <v>225.94551961038727</v>
      </c>
      <c r="D8" s="3">
        <f t="shared" si="0"/>
        <v>225.94551961038727</v>
      </c>
      <c r="E8" s="3">
        <f t="shared" si="10"/>
        <v>1.2513012313657277</v>
      </c>
      <c r="F8" s="3">
        <f t="shared" si="10"/>
        <v>339.04784822877616</v>
      </c>
      <c r="G8" s="3">
        <f>+'[4]Colector San Luis I'!$AB$19</f>
        <v>57.087829079130415</v>
      </c>
      <c r="H8" s="3">
        <f t="shared" si="1"/>
        <v>168.85769053125685</v>
      </c>
      <c r="L8" s="56">
        <f t="shared" si="2"/>
        <v>2024</v>
      </c>
      <c r="M8" s="9">
        <f>+'[4]Colector San Luis I'!$V$17</f>
        <v>1388.2911366533804</v>
      </c>
      <c r="N8" s="35">
        <f>+'[4]Colector San Luis I'!$U$17</f>
        <v>2.3509798243501376</v>
      </c>
      <c r="O8" s="44">
        <f t="shared" si="11"/>
        <v>3.7036120819956819</v>
      </c>
      <c r="P8" s="34">
        <f t="shared" si="12"/>
        <v>8.7071172819912555</v>
      </c>
      <c r="Q8" s="34">
        <f t="shared" si="5"/>
        <v>0.47019596487002757</v>
      </c>
      <c r="R8" s="34">
        <f t="shared" si="13"/>
        <v>9.1773132468612832</v>
      </c>
      <c r="S8" s="34">
        <f>+'[4]Colector San Luis I'!$AA$17</f>
        <v>47.910515832269134</v>
      </c>
      <c r="T8" s="57">
        <f t="shared" si="14"/>
        <v>57.087829079130415</v>
      </c>
      <c r="V8" s="46">
        <f t="shared" si="7"/>
        <v>57.087829079130415</v>
      </c>
      <c r="W8" s="34">
        <f t="shared" si="15"/>
        <v>0</v>
      </c>
    </row>
    <row r="9" spans="1:23" x14ac:dyDescent="0.3">
      <c r="B9" s="2">
        <f t="shared" si="8"/>
        <v>2025</v>
      </c>
      <c r="C9" s="3">
        <f t="shared" si="9"/>
        <v>225.94551961038727</v>
      </c>
      <c r="D9" s="3">
        <f t="shared" si="0"/>
        <v>225.94551961038727</v>
      </c>
      <c r="E9" s="3">
        <f t="shared" si="10"/>
        <v>1.2513012313657277</v>
      </c>
      <c r="F9" s="3">
        <f t="shared" si="10"/>
        <v>339.04784822877616</v>
      </c>
      <c r="G9" s="3">
        <f>+'[5]Colector San Luis I'!$AB$19</f>
        <v>58.32463979018285</v>
      </c>
      <c r="H9" s="3">
        <f t="shared" si="1"/>
        <v>167.62087982020441</v>
      </c>
      <c r="L9" s="56">
        <f t="shared" si="2"/>
        <v>2025</v>
      </c>
      <c r="M9" s="9">
        <f>+'[5]Colector San Luis I'!$V$17</f>
        <v>1399.4444687907919</v>
      </c>
      <c r="N9" s="35">
        <f>+'[5]Colector San Luis I'!$U$17</f>
        <v>2.4043611248382972</v>
      </c>
      <c r="O9" s="44">
        <f t="shared" si="11"/>
        <v>3.701148145772589</v>
      </c>
      <c r="P9" s="34">
        <f t="shared" si="12"/>
        <v>8.8988967189629609</v>
      </c>
      <c r="Q9" s="34">
        <f t="shared" si="5"/>
        <v>0.48087222496765947</v>
      </c>
      <c r="R9" s="34">
        <f t="shared" si="13"/>
        <v>9.3797689439306211</v>
      </c>
      <c r="S9" s="34">
        <f>+'[5]Colector San Luis I'!$AA$17</f>
        <v>48.944870846252229</v>
      </c>
      <c r="T9" s="57">
        <f t="shared" si="14"/>
        <v>58.32463979018285</v>
      </c>
      <c r="V9" s="46">
        <f t="shared" si="7"/>
        <v>58.32463979018285</v>
      </c>
      <c r="W9" s="34">
        <f t="shared" si="15"/>
        <v>0</v>
      </c>
    </row>
    <row r="10" spans="1:23" x14ac:dyDescent="0.3">
      <c r="B10" s="2">
        <f t="shared" si="8"/>
        <v>2026</v>
      </c>
      <c r="C10" s="3">
        <f t="shared" si="9"/>
        <v>225.94551961038727</v>
      </c>
      <c r="D10" s="3">
        <f t="shared" si="0"/>
        <v>225.94551961038727</v>
      </c>
      <c r="E10" s="3">
        <f t="shared" si="10"/>
        <v>1.2513012313657277</v>
      </c>
      <c r="F10" s="3">
        <f t="shared" si="10"/>
        <v>339.04784822877616</v>
      </c>
      <c r="G10" s="3">
        <f>+'[6]Colector San Luis I'!$AB$19</f>
        <v>59.574076238162249</v>
      </c>
      <c r="H10" s="3">
        <f t="shared" si="1"/>
        <v>166.37144337222503</v>
      </c>
      <c r="L10" s="56">
        <f t="shared" si="2"/>
        <v>2026</v>
      </c>
      <c r="M10" s="9">
        <f>+'[6]Colector San Luis I'!$V$17</f>
        <v>1410.658748098353</v>
      </c>
      <c r="N10" s="35">
        <f>+'[6]Colector San Luis I'!$U$17</f>
        <v>2.4583675648029488</v>
      </c>
      <c r="O10" s="44">
        <f t="shared" si="11"/>
        <v>3.6986851215538832</v>
      </c>
      <c r="P10" s="34">
        <f t="shared" si="12"/>
        <v>9.0927275352473185</v>
      </c>
      <c r="Q10" s="34">
        <f t="shared" si="5"/>
        <v>0.49167351296058981</v>
      </c>
      <c r="R10" s="34">
        <f t="shared" si="13"/>
        <v>9.5844010482079085</v>
      </c>
      <c r="S10" s="34">
        <f>+'[6]Colector San Luis I'!$AA$17</f>
        <v>49.98967518995434</v>
      </c>
      <c r="T10" s="57">
        <f t="shared" si="14"/>
        <v>59.574076238162249</v>
      </c>
      <c r="V10" s="46">
        <f t="shared" si="7"/>
        <v>59.574076238162249</v>
      </c>
      <c r="W10" s="34">
        <f t="shared" si="15"/>
        <v>0</v>
      </c>
    </row>
    <row r="11" spans="1:23" x14ac:dyDescent="0.3">
      <c r="B11" s="2">
        <f t="shared" si="8"/>
        <v>2027</v>
      </c>
      <c r="C11" s="3">
        <f t="shared" si="9"/>
        <v>225.94551961038727</v>
      </c>
      <c r="D11" s="3">
        <f t="shared" si="0"/>
        <v>225.94551961038727</v>
      </c>
      <c r="E11" s="3">
        <f t="shared" si="10"/>
        <v>1.2513012313657277</v>
      </c>
      <c r="F11" s="3">
        <f t="shared" si="10"/>
        <v>339.04784822877616</v>
      </c>
      <c r="G11" s="3">
        <f>+'[7]Colector San Luis I'!$AB$19</f>
        <v>60.833806041579848</v>
      </c>
      <c r="H11" s="3">
        <f t="shared" si="1"/>
        <v>165.11171356880743</v>
      </c>
      <c r="L11" s="56">
        <f t="shared" si="2"/>
        <v>2027</v>
      </c>
      <c r="M11" s="9">
        <f>+'[7]Colector San Luis I'!$V$17</f>
        <v>1421.9238167143724</v>
      </c>
      <c r="N11" s="35">
        <f>+'[7]Colector San Luis I'!$U$17</f>
        <v>2.5129020647241602</v>
      </c>
      <c r="O11" s="44">
        <f t="shared" si="11"/>
        <v>3.6962252707479109</v>
      </c>
      <c r="P11" s="34">
        <f t="shared" si="12"/>
        <v>9.2882521145480439</v>
      </c>
      <c r="Q11" s="34">
        <f t="shared" si="5"/>
        <v>0.50258041294483202</v>
      </c>
      <c r="R11" s="34">
        <f t="shared" si="13"/>
        <v>9.790832527492876</v>
      </c>
      <c r="S11" s="34">
        <f>+'[7]Colector San Luis I'!$AA$17</f>
        <v>51.042973514086974</v>
      </c>
      <c r="T11" s="57">
        <f t="shared" si="14"/>
        <v>60.833806041579848</v>
      </c>
      <c r="V11" s="46">
        <f t="shared" si="7"/>
        <v>60.833806041579848</v>
      </c>
      <c r="W11" s="34">
        <f t="shared" si="15"/>
        <v>0</v>
      </c>
    </row>
    <row r="12" spans="1:23" x14ac:dyDescent="0.3">
      <c r="B12" s="2">
        <f t="shared" si="8"/>
        <v>2028</v>
      </c>
      <c r="C12" s="3">
        <f t="shared" si="9"/>
        <v>225.94551961038727</v>
      </c>
      <c r="D12" s="3">
        <f t="shared" si="0"/>
        <v>225.94551961038727</v>
      </c>
      <c r="E12" s="3">
        <f t="shared" si="10"/>
        <v>1.2513012313657277</v>
      </c>
      <c r="F12" s="3">
        <f t="shared" si="10"/>
        <v>339.04784822877616</v>
      </c>
      <c r="G12" s="3">
        <f>+'[8]Colector San Luis I'!$AB$19</f>
        <v>62.108641131683029</v>
      </c>
      <c r="H12" s="3">
        <f t="shared" si="1"/>
        <v>163.83687847870425</v>
      </c>
      <c r="L12" s="56">
        <f t="shared" si="2"/>
        <v>2028</v>
      </c>
      <c r="M12" s="9">
        <f>+'[8]Colector San Luis I'!$V$17</f>
        <v>1433.2498325005415</v>
      </c>
      <c r="N12" s="35">
        <f>+'[8]Colector San Luis I'!$U$17</f>
        <v>2.5681670821468265</v>
      </c>
      <c r="O12" s="44">
        <f t="shared" si="11"/>
        <v>3.6937664049439016</v>
      </c>
      <c r="P12" s="34">
        <f t="shared" si="12"/>
        <v>9.4862092903167525</v>
      </c>
      <c r="Q12" s="34">
        <f t="shared" si="5"/>
        <v>0.51363341642936533</v>
      </c>
      <c r="R12" s="34">
        <f t="shared" si="13"/>
        <v>9.9998427067461186</v>
      </c>
      <c r="S12" s="34">
        <f>+'[8]Colector San Luis I'!$AA$17</f>
        <v>52.108798424936907</v>
      </c>
      <c r="T12" s="57">
        <f t="shared" si="14"/>
        <v>62.108641131683029</v>
      </c>
      <c r="V12" s="46">
        <f t="shared" si="7"/>
        <v>62.108641131683029</v>
      </c>
      <c r="W12" s="34">
        <f t="shared" si="15"/>
        <v>0</v>
      </c>
    </row>
    <row r="13" spans="1:23" x14ac:dyDescent="0.3">
      <c r="B13" s="2">
        <f t="shared" si="8"/>
        <v>2029</v>
      </c>
      <c r="C13" s="3">
        <f t="shared" si="9"/>
        <v>225.94551961038727</v>
      </c>
      <c r="D13" s="3">
        <f t="shared" si="0"/>
        <v>225.94551961038727</v>
      </c>
      <c r="E13" s="3">
        <f t="shared" si="10"/>
        <v>1.2513012313657277</v>
      </c>
      <c r="F13" s="3">
        <f t="shared" si="10"/>
        <v>339.04784822877616</v>
      </c>
      <c r="G13" s="3">
        <f>+'[9]Colector San Luis I'!$AB$19</f>
        <v>63.386382510718981</v>
      </c>
      <c r="H13" s="3">
        <f t="shared" si="1"/>
        <v>162.55913709966828</v>
      </c>
      <c r="L13" s="56">
        <f t="shared" si="2"/>
        <v>2029</v>
      </c>
      <c r="M13" s="9">
        <f>+'[9]Colector San Luis I'!$V$17</f>
        <v>1444.6164797334773</v>
      </c>
      <c r="N13" s="35">
        <f>+'[9]Colector San Luis I'!$U$17</f>
        <v>2.6236548171386334</v>
      </c>
      <c r="O13" s="44">
        <f t="shared" si="11"/>
        <v>3.6913129447282484</v>
      </c>
      <c r="P13" s="34">
        <f t="shared" si="12"/>
        <v>9.6847309890024622</v>
      </c>
      <c r="Q13" s="34">
        <f t="shared" si="5"/>
        <v>0.52473096342772674</v>
      </c>
      <c r="R13" s="34">
        <f t="shared" si="13"/>
        <v>10.209461952430189</v>
      </c>
      <c r="S13" s="34">
        <f>+'[9]Colector San Luis I'!$AA$17</f>
        <v>53.176920558288792</v>
      </c>
      <c r="T13" s="57">
        <f t="shared" si="14"/>
        <v>63.386382510718981</v>
      </c>
      <c r="V13" s="46">
        <f t="shared" si="7"/>
        <v>63.386382510718981</v>
      </c>
      <c r="W13" s="34">
        <f t="shared" si="15"/>
        <v>0</v>
      </c>
    </row>
    <row r="14" spans="1:23" x14ac:dyDescent="0.3">
      <c r="B14" s="2">
        <f t="shared" si="8"/>
        <v>2030</v>
      </c>
      <c r="C14" s="3">
        <f t="shared" si="9"/>
        <v>225.94551961038727</v>
      </c>
      <c r="D14" s="3">
        <f t="shared" si="0"/>
        <v>225.94551961038727</v>
      </c>
      <c r="E14" s="3">
        <f t="shared" si="10"/>
        <v>1.2513012313657277</v>
      </c>
      <c r="F14" s="3">
        <f t="shared" si="10"/>
        <v>339.04784822877616</v>
      </c>
      <c r="G14" s="3">
        <f>+'[10]Colector San Luis I'!$AB$19</f>
        <v>64.676781577402522</v>
      </c>
      <c r="H14" s="3">
        <f t="shared" si="1"/>
        <v>161.26873803298474</v>
      </c>
      <c r="L14" s="56">
        <f t="shared" si="2"/>
        <v>2030</v>
      </c>
      <c r="M14" s="9">
        <f>+'[10]Colector San Luis I'!$V$17</f>
        <v>1456.0440741365628</v>
      </c>
      <c r="N14" s="35">
        <f>+'[10]Colector San Luis I'!$U$17</f>
        <v>2.6797742202993224</v>
      </c>
      <c r="O14" s="44">
        <f t="shared" si="11"/>
        <v>3.6888605145810791</v>
      </c>
      <c r="P14" s="34">
        <f t="shared" si="12"/>
        <v>9.8853133092544692</v>
      </c>
      <c r="Q14" s="34">
        <f t="shared" si="5"/>
        <v>0.53595484405986449</v>
      </c>
      <c r="R14" s="34">
        <f t="shared" si="13"/>
        <v>10.421268153314333</v>
      </c>
      <c r="S14" s="34">
        <f>+'[10]Colector San Luis I'!$AA$17</f>
        <v>54.255513424088193</v>
      </c>
      <c r="T14" s="57">
        <f t="shared" si="14"/>
        <v>64.676781577402522</v>
      </c>
      <c r="V14" s="46">
        <f t="shared" si="7"/>
        <v>64.676781577402522</v>
      </c>
      <c r="W14" s="34">
        <f t="shared" si="15"/>
        <v>0</v>
      </c>
    </row>
    <row r="15" spans="1:23" x14ac:dyDescent="0.3">
      <c r="B15" s="2">
        <f t="shared" si="8"/>
        <v>2031</v>
      </c>
      <c r="C15" s="3">
        <f t="shared" si="9"/>
        <v>225.94551961038727</v>
      </c>
      <c r="D15" s="3">
        <f t="shared" si="0"/>
        <v>225.94551961038727</v>
      </c>
      <c r="E15" s="3">
        <f t="shared" si="10"/>
        <v>1.2513012313657277</v>
      </c>
      <c r="F15" s="3">
        <f t="shared" si="10"/>
        <v>339.04784822877616</v>
      </c>
      <c r="G15" s="3">
        <f>+'[11]Colector San Luis I'!$AB$19</f>
        <v>65.977302850065939</v>
      </c>
      <c r="H15" s="3">
        <f t="shared" si="1"/>
        <v>159.96821676032133</v>
      </c>
      <c r="L15" s="56">
        <f t="shared" si="2"/>
        <v>2031</v>
      </c>
      <c r="M15" s="9">
        <f>+'[11]Colector San Luis I'!$V$17</f>
        <v>1467.5326157097982</v>
      </c>
      <c r="N15" s="35">
        <f>+'[11]Colector San Luis I'!$U$17</f>
        <v>2.7364216834165704</v>
      </c>
      <c r="O15" s="44">
        <f t="shared" si="11"/>
        <v>3.6864091613659742</v>
      </c>
      <c r="P15" s="34">
        <f t="shared" si="12"/>
        <v>10.087569963107347</v>
      </c>
      <c r="Q15" s="34">
        <f t="shared" si="5"/>
        <v>0.54728433668331411</v>
      </c>
      <c r="R15" s="34">
        <f t="shared" si="13"/>
        <v>10.634854299790661</v>
      </c>
      <c r="S15" s="34">
        <f>+'[11]Colector San Luis I'!$AA$17</f>
        <v>55.342448550275279</v>
      </c>
      <c r="T15" s="57">
        <f t="shared" si="14"/>
        <v>65.977302850065939</v>
      </c>
      <c r="V15" s="46">
        <f t="shared" si="7"/>
        <v>65.977302850065939</v>
      </c>
      <c r="W15" s="34">
        <f t="shared" si="15"/>
        <v>0</v>
      </c>
    </row>
    <row r="16" spans="1:23" x14ac:dyDescent="0.3">
      <c r="B16" s="2">
        <f t="shared" si="8"/>
        <v>2032</v>
      </c>
      <c r="C16" s="3">
        <f t="shared" si="9"/>
        <v>225.94551961038727</v>
      </c>
      <c r="D16" s="3">
        <f t="shared" si="0"/>
        <v>225.94551961038727</v>
      </c>
      <c r="E16" s="3">
        <f t="shared" si="10"/>
        <v>1.2513012313657277</v>
      </c>
      <c r="F16" s="3">
        <f t="shared" si="10"/>
        <v>339.04784822877616</v>
      </c>
      <c r="G16" s="3">
        <f>+'[12]Colector San Luis I'!$AB$19</f>
        <v>67.293020140851283</v>
      </c>
      <c r="H16" s="3">
        <f t="shared" si="1"/>
        <v>158.652499469536</v>
      </c>
      <c r="L16" s="56">
        <f t="shared" si="2"/>
        <v>2032</v>
      </c>
      <c r="M16" s="9">
        <f>+'[12]Colector San Luis I'!$V$17</f>
        <v>1479.0821044531831</v>
      </c>
      <c r="N16" s="35">
        <f>+'[12]Colector San Luis I'!$U$17</f>
        <v>2.7938090862068767</v>
      </c>
      <c r="O16" s="44">
        <f t="shared" si="11"/>
        <v>3.6839589310477079</v>
      </c>
      <c r="P16" s="34">
        <f t="shared" si="12"/>
        <v>10.292277934774059</v>
      </c>
      <c r="Q16" s="34">
        <f t="shared" si="5"/>
        <v>0.55876181724137541</v>
      </c>
      <c r="R16" s="34">
        <f t="shared" si="13"/>
        <v>10.851039752015435</v>
      </c>
      <c r="S16" s="34">
        <f>+'[12]Colector San Luis I'!$AA$17</f>
        <v>56.441980388835844</v>
      </c>
      <c r="T16" s="57">
        <f t="shared" si="14"/>
        <v>67.293020140851283</v>
      </c>
      <c r="V16" s="46">
        <f t="shared" si="7"/>
        <v>67.293020140851283</v>
      </c>
      <c r="W16" s="34">
        <f t="shared" si="15"/>
        <v>0</v>
      </c>
    </row>
    <row r="17" spans="2:23" x14ac:dyDescent="0.3">
      <c r="B17" s="2">
        <f t="shared" si="8"/>
        <v>2033</v>
      </c>
      <c r="C17" s="3">
        <f t="shared" si="9"/>
        <v>225.94551961038727</v>
      </c>
      <c r="D17" s="3">
        <f t="shared" si="0"/>
        <v>225.94551961038727</v>
      </c>
      <c r="E17" s="3">
        <f t="shared" si="10"/>
        <v>1.2513012313657277</v>
      </c>
      <c r="F17" s="3">
        <f t="shared" si="10"/>
        <v>339.04784822877616</v>
      </c>
      <c r="G17" s="3">
        <f>+'[13]Colector San Luis I'!$AB$19</f>
        <v>68.610998947823362</v>
      </c>
      <c r="H17" s="3">
        <f t="shared" si="1"/>
        <v>157.3345206625639</v>
      </c>
      <c r="L17" s="56">
        <f t="shared" si="2"/>
        <v>2033</v>
      </c>
      <c r="M17" s="9">
        <f>+'[13]Colector San Luis I'!$V$17</f>
        <v>1490.7026982284096</v>
      </c>
      <c r="N17" s="35">
        <f>+'[13]Colector San Luis I'!$U$17</f>
        <v>2.8514032557023308</v>
      </c>
      <c r="O17" s="44">
        <f t="shared" si="11"/>
        <v>3.6815077321827459</v>
      </c>
      <c r="P17" s="34">
        <f t="shared" si="12"/>
        <v>10.497463133439187</v>
      </c>
      <c r="Q17" s="34">
        <f t="shared" si="5"/>
        <v>0.57028065114046622</v>
      </c>
      <c r="R17" s="34">
        <f t="shared" si="13"/>
        <v>11.067743784579653</v>
      </c>
      <c r="S17" s="34">
        <f>+'[13]Colector San Luis I'!$AA$17</f>
        <v>57.543255163243714</v>
      </c>
      <c r="T17" s="57">
        <f t="shared" si="14"/>
        <v>68.610998947823362</v>
      </c>
      <c r="V17" s="46">
        <f t="shared" si="7"/>
        <v>68.610998947823362</v>
      </c>
      <c r="W17" s="34">
        <f t="shared" si="15"/>
        <v>0</v>
      </c>
    </row>
    <row r="18" spans="2:23" x14ac:dyDescent="0.3">
      <c r="B18" s="2">
        <f t="shared" si="8"/>
        <v>2034</v>
      </c>
      <c r="C18" s="3">
        <f t="shared" si="9"/>
        <v>225.94551961038727</v>
      </c>
      <c r="D18" s="3">
        <f t="shared" si="0"/>
        <v>225.94551961038727</v>
      </c>
      <c r="E18" s="3">
        <f t="shared" si="10"/>
        <v>1.2513012313657277</v>
      </c>
      <c r="F18" s="3">
        <f t="shared" si="10"/>
        <v>339.04784822877616</v>
      </c>
      <c r="G18" s="3">
        <f>+'[14]Colector San Luis I'!$AB$19</f>
        <v>69.941785094850133</v>
      </c>
      <c r="H18" s="3">
        <f t="shared" si="1"/>
        <v>156.00373451553713</v>
      </c>
      <c r="L18" s="56">
        <f t="shared" si="2"/>
        <v>2034</v>
      </c>
      <c r="M18" s="9">
        <f>+'[14]Colector San Luis I'!$V$17</f>
        <v>1502.3639234504026</v>
      </c>
      <c r="N18" s="35">
        <f>+'[14]Colector San Luis I'!$U$17</f>
        <v>2.9096356220590565</v>
      </c>
      <c r="O18" s="44">
        <f t="shared" si="11"/>
        <v>3.6790620185583056</v>
      </c>
      <c r="P18" s="34">
        <f t="shared" si="12"/>
        <v>10.704729904961743</v>
      </c>
      <c r="Q18" s="34">
        <f t="shared" si="5"/>
        <v>0.58192712441181127</v>
      </c>
      <c r="R18" s="34">
        <f t="shared" si="13"/>
        <v>11.286657029373554</v>
      </c>
      <c r="S18" s="34">
        <f>+'[14]Colector San Luis I'!$AA$17</f>
        <v>58.655128065476575</v>
      </c>
      <c r="T18" s="57">
        <f t="shared" si="14"/>
        <v>69.941785094850133</v>
      </c>
      <c r="V18" s="46">
        <f t="shared" si="7"/>
        <v>69.941785094850133</v>
      </c>
      <c r="W18" s="34">
        <f t="shared" si="15"/>
        <v>0</v>
      </c>
    </row>
    <row r="19" spans="2:23" x14ac:dyDescent="0.3">
      <c r="B19" s="2">
        <f t="shared" si="8"/>
        <v>2035</v>
      </c>
      <c r="C19" s="3">
        <f t="shared" si="9"/>
        <v>225.94551961038727</v>
      </c>
      <c r="D19" s="3">
        <f t="shared" si="0"/>
        <v>225.94551961038727</v>
      </c>
      <c r="E19" s="3">
        <f t="shared" si="10"/>
        <v>1.2513012313657277</v>
      </c>
      <c r="F19" s="3">
        <f t="shared" si="10"/>
        <v>339.04784822877616</v>
      </c>
      <c r="G19" s="3">
        <f>+'[15]Colector San Luis I'!$AB$19</f>
        <v>71.282453849376211</v>
      </c>
      <c r="H19" s="3">
        <f t="shared" si="1"/>
        <v>154.66306576101107</v>
      </c>
      <c r="L19" s="56">
        <f t="shared" si="2"/>
        <v>2035</v>
      </c>
      <c r="M19" s="9">
        <f>+'[15]Colector San Luis I'!$V$17</f>
        <v>1514.1064115659287</v>
      </c>
      <c r="N19" s="35">
        <f>+'[15]Colector San Luis I'!$U$17</f>
        <v>2.9683960483723415</v>
      </c>
      <c r="O19" s="44">
        <f t="shared" si="11"/>
        <v>3.6766133117428059</v>
      </c>
      <c r="P19" s="34">
        <f t="shared" si="12"/>
        <v>10.913644425970492</v>
      </c>
      <c r="Q19" s="34">
        <f t="shared" si="5"/>
        <v>0.5936792096744683</v>
      </c>
      <c r="R19" s="34">
        <f t="shared" si="13"/>
        <v>11.50732363564496</v>
      </c>
      <c r="S19" s="34">
        <f>+'[15]Colector San Luis I'!$AA$17</f>
        <v>59.775130213731245</v>
      </c>
      <c r="T19" s="57">
        <f t="shared" si="14"/>
        <v>71.282453849376211</v>
      </c>
      <c r="V19" s="46">
        <f t="shared" si="7"/>
        <v>71.282453849376211</v>
      </c>
      <c r="W19" s="34">
        <f t="shared" si="15"/>
        <v>0</v>
      </c>
    </row>
    <row r="20" spans="2:23" x14ac:dyDescent="0.3">
      <c r="B20" s="2">
        <f t="shared" si="8"/>
        <v>2036</v>
      </c>
      <c r="C20" s="3">
        <f t="shared" si="9"/>
        <v>225.94551961038727</v>
      </c>
      <c r="D20" s="3">
        <f t="shared" si="0"/>
        <v>225.94551961038727</v>
      </c>
      <c r="E20" s="3">
        <f t="shared" si="10"/>
        <v>1.2513012313657277</v>
      </c>
      <c r="F20" s="3">
        <f t="shared" si="10"/>
        <v>339.04784822877616</v>
      </c>
      <c r="G20" s="3">
        <f>+'[16]Colector San Luis I'!$AB$19</f>
        <v>72.638468651194444</v>
      </c>
      <c r="H20" s="3">
        <f t="shared" si="1"/>
        <v>153.30705095919282</v>
      </c>
      <c r="L20" s="56">
        <f t="shared" si="2"/>
        <v>2036</v>
      </c>
      <c r="M20" s="9">
        <f>+'[16]Colector San Luis I'!$V$17</f>
        <v>1525.8996889899129</v>
      </c>
      <c r="N20" s="35">
        <f>+'[16]Colector San Luis I'!$U$17</f>
        <v>3.02790583653029</v>
      </c>
      <c r="O20" s="44">
        <f t="shared" si="11"/>
        <v>3.6741680272347752</v>
      </c>
      <c r="P20" s="34">
        <f t="shared" si="12"/>
        <v>11.125034814057157</v>
      </c>
      <c r="Q20" s="34">
        <f t="shared" si="5"/>
        <v>0.60558116730605804</v>
      </c>
      <c r="R20" s="34">
        <f t="shared" si="13"/>
        <v>11.730615981363215</v>
      </c>
      <c r="S20" s="34">
        <f>+'[16]Colector San Luis I'!$AA$17</f>
        <v>60.907852669831222</v>
      </c>
      <c r="T20" s="57">
        <f t="shared" si="14"/>
        <v>72.638468651194444</v>
      </c>
      <c r="V20" s="46">
        <f t="shared" si="7"/>
        <v>72.638468651194444</v>
      </c>
      <c r="W20" s="34">
        <f t="shared" si="15"/>
        <v>0</v>
      </c>
    </row>
    <row r="21" spans="2:23" ht="13.8" thickBot="1" x14ac:dyDescent="0.35">
      <c r="B21" s="2">
        <f t="shared" si="8"/>
        <v>2037</v>
      </c>
      <c r="C21" s="3">
        <f t="shared" si="9"/>
        <v>225.94551961038727</v>
      </c>
      <c r="D21" s="3">
        <f t="shared" si="0"/>
        <v>225.94551961038727</v>
      </c>
      <c r="E21" s="3">
        <f t="shared" si="10"/>
        <v>1.2513012313657277</v>
      </c>
      <c r="F21" s="3">
        <f t="shared" si="10"/>
        <v>339.04784822877616</v>
      </c>
      <c r="G21" s="3">
        <f>+'[17]Colector San Luis I'!$AB$19</f>
        <v>73.996274381360877</v>
      </c>
      <c r="H21" s="3">
        <f t="shared" si="1"/>
        <v>151.94924522902639</v>
      </c>
      <c r="I21" s="13">
        <f>+G21/G6-1</f>
        <v>0.36521096838380829</v>
      </c>
      <c r="L21" s="58">
        <f t="shared" si="2"/>
        <v>2037</v>
      </c>
      <c r="M21" s="59">
        <f>+'[17]Colector San Luis I'!$V$17</f>
        <v>1537.7640714457384</v>
      </c>
      <c r="N21" s="65">
        <f>+'[17]Colector San Luis I'!$U$17</f>
        <v>3.0876064405293913</v>
      </c>
      <c r="O21" s="61">
        <f t="shared" ref="O21" si="16">1+(14/(4+(SQRT(M21/1000))))</f>
        <v>3.671721994151913</v>
      </c>
      <c r="P21" s="60">
        <f t="shared" ref="P21" si="17">+O21*N21</f>
        <v>11.336832476976866</v>
      </c>
      <c r="Q21" s="60">
        <f t="shared" si="5"/>
        <v>0.61752128810587825</v>
      </c>
      <c r="R21" s="60">
        <f t="shared" ref="R21" si="18">+Q21+P21</f>
        <v>11.954353765082745</v>
      </c>
      <c r="S21" s="60">
        <f>+'[17]Colector San Luis I'!$AA$17</f>
        <v>62.041920616278134</v>
      </c>
      <c r="T21" s="62">
        <f t="shared" ref="T21" si="19">+S21+R21</f>
        <v>73.996274381360877</v>
      </c>
      <c r="V21" s="46">
        <f t="shared" si="7"/>
        <v>73.996274381360877</v>
      </c>
      <c r="W21" s="34">
        <f t="shared" ref="W21" si="20">+V21-T21</f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U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1" ht="13.8" thickBot="1" x14ac:dyDescent="0.35"/>
    <row r="2" spans="1:21" x14ac:dyDescent="0.3">
      <c r="B2" s="5" t="s">
        <v>81</v>
      </c>
      <c r="E2" s="6" t="s">
        <v>7</v>
      </c>
      <c r="F2" s="7">
        <f>+'[17]Colector Ruben Dario'!$N$48</f>
        <v>1892.0159999999998</v>
      </c>
      <c r="G2" s="8" t="s">
        <v>8</v>
      </c>
      <c r="J2" s="47"/>
      <c r="K2" s="48" t="s">
        <v>98</v>
      </c>
      <c r="L2" s="49"/>
      <c r="M2" s="49"/>
      <c r="N2" s="49"/>
      <c r="O2" s="49"/>
      <c r="P2" s="49"/>
      <c r="Q2" s="49"/>
      <c r="R2" s="50"/>
    </row>
    <row r="3" spans="1:21" x14ac:dyDescent="0.3">
      <c r="J3" s="51"/>
      <c r="K3" s="42" t="s">
        <v>120</v>
      </c>
      <c r="N3" s="12" t="s">
        <v>121</v>
      </c>
      <c r="R3" s="52"/>
    </row>
    <row r="4" spans="1:2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J4" s="51"/>
      <c r="O4" s="53">
        <v>0.2</v>
      </c>
      <c r="Q4" s="43" t="s">
        <v>94</v>
      </c>
      <c r="R4" s="52"/>
    </row>
    <row r="5" spans="1:21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J5" s="54" t="s">
        <v>0</v>
      </c>
      <c r="K5" s="45" t="s">
        <v>90</v>
      </c>
      <c r="L5" s="45" t="s">
        <v>99</v>
      </c>
      <c r="M5" s="45" t="s">
        <v>91</v>
      </c>
      <c r="N5" s="45" t="s">
        <v>92</v>
      </c>
      <c r="O5" s="45" t="s">
        <v>93</v>
      </c>
      <c r="P5" s="45" t="s">
        <v>100</v>
      </c>
      <c r="Q5" s="45" t="s">
        <v>122</v>
      </c>
      <c r="R5" s="55" t="s">
        <v>101</v>
      </c>
      <c r="S5" s="45"/>
      <c r="T5" s="45" t="s">
        <v>92</v>
      </c>
      <c r="U5" s="45" t="s">
        <v>97</v>
      </c>
    </row>
    <row r="6" spans="1:21" x14ac:dyDescent="0.3">
      <c r="A6" s="12" t="s">
        <v>6</v>
      </c>
      <c r="B6" s="2">
        <f>+'Colec San Pablo'!B6</f>
        <v>2022</v>
      </c>
      <c r="C6" s="3">
        <f>+SUMPRODUCT('[17]Colector Ruben Dario'!$AL$17:$AL$48,'[17]Colector Ruben Dario'!$M$17:$M$48)/F2</f>
        <v>99.611296217410995</v>
      </c>
      <c r="D6" s="3">
        <f t="shared" ref="D6:D21" si="0">+C6</f>
        <v>99.611296217410995</v>
      </c>
      <c r="E6" s="3">
        <f>D6/(0.25*PI()*(F6/1000)^2)/1000</f>
        <v>1.0347671331509252</v>
      </c>
      <c r="F6" s="3">
        <f>+SUMPRODUCT('[17]Colector Ruben Dario'!$F$17:$F$48,'[17]Colector Ruben Dario'!$M$17:$M$48)/F2</f>
        <v>350.0967201123035</v>
      </c>
      <c r="G6" s="3">
        <f>+'[2]Colector Ruben Dario'!$AB$48</f>
        <v>73.4183907203861</v>
      </c>
      <c r="H6" s="3">
        <f t="shared" ref="H6:H21" si="1">+D6-G6</f>
        <v>26.192905497024896</v>
      </c>
      <c r="J6" s="56">
        <f>+B6</f>
        <v>2022</v>
      </c>
      <c r="K6" s="9">
        <f>+'[2]Colector Ruben Dario'!$V$48</f>
        <v>13006.756226304431</v>
      </c>
      <c r="L6" s="34">
        <f>+'[2]Colector Ruben Dario'!$U$48</f>
        <v>22.302931089679213</v>
      </c>
      <c r="M6" s="44">
        <f t="shared" ref="M6" si="2">1+(14/(4+(SQRT(K6/1000))))</f>
        <v>2.8405340104669463</v>
      </c>
      <c r="N6" s="34">
        <f t="shared" ref="N6" si="3">+M6*L6</f>
        <v>63.352234293334433</v>
      </c>
      <c r="O6" s="34">
        <f t="shared" ref="O6:O21" si="4">+L6*$O$4</f>
        <v>4.4605862179358429</v>
      </c>
      <c r="P6" s="34">
        <f t="shared" ref="P6" si="5">+O6+N6</f>
        <v>67.812820511270274</v>
      </c>
      <c r="Q6" s="34">
        <f>+'[2]Colector Ruben Dario'!$AA$48</f>
        <v>5.6055702091158253</v>
      </c>
      <c r="R6" s="57">
        <f>+Q6+P6</f>
        <v>73.4183907203861</v>
      </c>
      <c r="T6" s="46">
        <f t="shared" ref="T6:T21" si="6">+G6</f>
        <v>73.4183907203861</v>
      </c>
      <c r="U6" s="46">
        <f>+R6-T6</f>
        <v>0</v>
      </c>
    </row>
    <row r="7" spans="1:21" x14ac:dyDescent="0.3">
      <c r="B7" s="2">
        <f t="shared" ref="B7:B21" si="7">+B6+1</f>
        <v>2023</v>
      </c>
      <c r="C7" s="3">
        <f t="shared" ref="C7:C21" si="8">+C6</f>
        <v>99.611296217410995</v>
      </c>
      <c r="D7" s="3">
        <f t="shared" si="0"/>
        <v>99.611296217410995</v>
      </c>
      <c r="E7" s="3">
        <f t="shared" ref="E7:F21" si="9">+E6</f>
        <v>1.0347671331509252</v>
      </c>
      <c r="F7" s="3">
        <f t="shared" si="9"/>
        <v>350.0967201123035</v>
      </c>
      <c r="G7" s="3">
        <f>+'[3]Colector Ruben Dario'!$AB$48</f>
        <v>75.620799842804644</v>
      </c>
      <c r="H7" s="3">
        <f t="shared" si="1"/>
        <v>23.990496374606352</v>
      </c>
      <c r="J7" s="56">
        <f t="shared" ref="J7:J21" si="10">+B7</f>
        <v>2023</v>
      </c>
      <c r="K7" s="9">
        <f>+'[3]Colector Ruben Dario'!$V$48</f>
        <v>13112.076367124237</v>
      </c>
      <c r="L7" s="34">
        <f>+'[3]Colector Ruben Dario'!$U$48</f>
        <v>23.006652678130713</v>
      </c>
      <c r="M7" s="44">
        <f t="shared" ref="M7:M21" si="11">1+(14/(4+(SQRT(K7/1000))))</f>
        <v>2.8370147703907511</v>
      </c>
      <c r="N7" s="34">
        <f t="shared" ref="N7:N21" si="12">+M7*L7</f>
        <v>65.270213465106764</v>
      </c>
      <c r="O7" s="34">
        <f t="shared" si="4"/>
        <v>4.6013305356261425</v>
      </c>
      <c r="P7" s="34">
        <f t="shared" ref="P7:P21" si="13">+O7+N7</f>
        <v>69.871544000732911</v>
      </c>
      <c r="Q7" s="34">
        <f>+'[3]Colector Ruben Dario'!$AA$48</f>
        <v>5.7492558420717268</v>
      </c>
      <c r="R7" s="57">
        <f t="shared" ref="R7:R21" si="14">+Q7+P7</f>
        <v>75.620799842804644</v>
      </c>
      <c r="T7" s="46">
        <f t="shared" si="6"/>
        <v>75.620799842804644</v>
      </c>
      <c r="U7" s="46">
        <f t="shared" ref="U7:U20" si="15">+R7-T7</f>
        <v>0</v>
      </c>
    </row>
    <row r="8" spans="1:21" x14ac:dyDescent="0.3">
      <c r="B8" s="2">
        <f t="shared" si="7"/>
        <v>2024</v>
      </c>
      <c r="C8" s="3">
        <f t="shared" si="8"/>
        <v>99.611296217410995</v>
      </c>
      <c r="D8" s="3">
        <f t="shared" si="0"/>
        <v>99.611296217410995</v>
      </c>
      <c r="E8" s="3">
        <f t="shared" si="9"/>
        <v>1.0347671331509252</v>
      </c>
      <c r="F8" s="3">
        <f t="shared" si="9"/>
        <v>350.0967201123035</v>
      </c>
      <c r="G8" s="3">
        <f>+'[4]Colector Ruben Dario'!$AB$48</f>
        <v>77.256659839746476</v>
      </c>
      <c r="H8" s="3">
        <f t="shared" si="1"/>
        <v>22.354636377664519</v>
      </c>
      <c r="J8" s="56">
        <f t="shared" si="10"/>
        <v>2024</v>
      </c>
      <c r="K8" s="9">
        <f>+'[4]Colector Ruben Dario'!$V$48</f>
        <v>13217.880071492342</v>
      </c>
      <c r="L8" s="34">
        <f>+'[4]Colector Ruben Dario'!$U$48</f>
        <v>23.538733054491274</v>
      </c>
      <c r="M8" s="44">
        <f t="shared" si="11"/>
        <v>2.8335070184699767</v>
      </c>
      <c r="N8" s="34">
        <f t="shared" si="12"/>
        <v>66.697165315792262</v>
      </c>
      <c r="O8" s="34">
        <f t="shared" si="4"/>
        <v>4.7077466108982549</v>
      </c>
      <c r="P8" s="34">
        <f t="shared" si="13"/>
        <v>71.404911926690517</v>
      </c>
      <c r="Q8" s="34">
        <f>+'[4]Colector Ruben Dario'!$AA$48</f>
        <v>5.8517479130559558</v>
      </c>
      <c r="R8" s="57">
        <f t="shared" si="14"/>
        <v>77.256659839746476</v>
      </c>
      <c r="T8" s="46">
        <f t="shared" si="6"/>
        <v>77.256659839746476</v>
      </c>
      <c r="U8" s="46">
        <f t="shared" si="15"/>
        <v>0</v>
      </c>
    </row>
    <row r="9" spans="1:21" x14ac:dyDescent="0.3">
      <c r="B9" s="2">
        <f t="shared" si="7"/>
        <v>2025</v>
      </c>
      <c r="C9" s="3">
        <f t="shared" si="8"/>
        <v>99.611296217410995</v>
      </c>
      <c r="D9" s="3">
        <f t="shared" si="0"/>
        <v>99.611296217410995</v>
      </c>
      <c r="E9" s="3">
        <f t="shared" si="9"/>
        <v>1.0347671331509252</v>
      </c>
      <c r="F9" s="3">
        <f t="shared" si="9"/>
        <v>350.0967201123035</v>
      </c>
      <c r="G9" s="3">
        <f>+'[5]Colector Ruben Dario'!$AB$48</f>
        <v>78.897009585640546</v>
      </c>
      <c r="H9" s="3">
        <f t="shared" si="1"/>
        <v>20.714286631770449</v>
      </c>
      <c r="J9" s="56">
        <f t="shared" si="10"/>
        <v>2025</v>
      </c>
      <c r="K9" s="9">
        <f>+'[5]Colector Ruben Dario'!$V$48</f>
        <v>13324.070626699086</v>
      </c>
      <c r="L9" s="34">
        <f>+'[5]Colector Ruben Dario'!$U$48</f>
        <v>24.073203052607781</v>
      </c>
      <c r="M9" s="44">
        <f t="shared" si="11"/>
        <v>2.8300138923096059</v>
      </c>
      <c r="N9" s="34">
        <f t="shared" si="12"/>
        <v>68.127499071270037</v>
      </c>
      <c r="O9" s="34">
        <f t="shared" si="4"/>
        <v>4.8146406105215567</v>
      </c>
      <c r="P9" s="34">
        <f t="shared" si="13"/>
        <v>72.942139681791588</v>
      </c>
      <c r="Q9" s="34">
        <f>+'[5]Colector Ruben Dario'!$AA$48</f>
        <v>5.954869903848965</v>
      </c>
      <c r="R9" s="57">
        <f t="shared" si="14"/>
        <v>78.897009585640546</v>
      </c>
      <c r="T9" s="46">
        <f t="shared" si="6"/>
        <v>78.897009585640546</v>
      </c>
      <c r="U9" s="46">
        <f t="shared" si="15"/>
        <v>0</v>
      </c>
    </row>
    <row r="10" spans="1:21" x14ac:dyDescent="0.3">
      <c r="B10" s="2">
        <f t="shared" si="7"/>
        <v>2026</v>
      </c>
      <c r="C10" s="3">
        <f t="shared" si="8"/>
        <v>99.611296217410995</v>
      </c>
      <c r="D10" s="3">
        <f t="shared" si="0"/>
        <v>99.611296217410995</v>
      </c>
      <c r="E10" s="3">
        <f t="shared" si="9"/>
        <v>1.0347671331509252</v>
      </c>
      <c r="F10" s="3">
        <f t="shared" si="9"/>
        <v>350.0967201123035</v>
      </c>
      <c r="G10" s="3">
        <f>+'[6]Colector Ruben Dario'!$AB$48</f>
        <v>80.55428586209166</v>
      </c>
      <c r="H10" s="3">
        <f t="shared" si="1"/>
        <v>19.057010355319335</v>
      </c>
      <c r="J10" s="56">
        <f t="shared" si="10"/>
        <v>2026</v>
      </c>
      <c r="K10" s="9">
        <f>+'[6]Colector Ruben Dario'!$V$48</f>
        <v>13430.841458163792</v>
      </c>
      <c r="L10" s="34">
        <f>+'[6]Colector Ruben Dario'!$U$48</f>
        <v>24.613932139427043</v>
      </c>
      <c r="M10" s="44">
        <f t="shared" si="11"/>
        <v>2.8265289976917112</v>
      </c>
      <c r="N10" s="34">
        <f t="shared" si="12"/>
        <v>69.571992939306512</v>
      </c>
      <c r="O10" s="34">
        <f t="shared" si="4"/>
        <v>4.9227864278854092</v>
      </c>
      <c r="P10" s="34">
        <f t="shared" si="13"/>
        <v>74.494779367191924</v>
      </c>
      <c r="Q10" s="34">
        <f>+'[6]Colector Ruben Dario'!$AA$48</f>
        <v>6.0595064948997397</v>
      </c>
      <c r="R10" s="57">
        <f t="shared" si="14"/>
        <v>80.55428586209166</v>
      </c>
      <c r="T10" s="46">
        <f t="shared" si="6"/>
        <v>80.55428586209166</v>
      </c>
      <c r="U10" s="46">
        <f t="shared" si="15"/>
        <v>0</v>
      </c>
    </row>
    <row r="11" spans="1:21" x14ac:dyDescent="0.3">
      <c r="B11" s="2">
        <f t="shared" si="7"/>
        <v>2027</v>
      </c>
      <c r="C11" s="3">
        <f t="shared" si="8"/>
        <v>99.611296217410995</v>
      </c>
      <c r="D11" s="3">
        <f t="shared" si="0"/>
        <v>99.611296217410995</v>
      </c>
      <c r="E11" s="3">
        <f t="shared" si="9"/>
        <v>1.0347671331509252</v>
      </c>
      <c r="F11" s="3">
        <f t="shared" si="9"/>
        <v>350.0967201123035</v>
      </c>
      <c r="G11" s="3">
        <f>+'[7]Colector Ruben Dario'!$AB$48</f>
        <v>82.225367430241889</v>
      </c>
      <c r="H11" s="3">
        <f t="shared" si="1"/>
        <v>17.385928787169107</v>
      </c>
      <c r="J11" s="56">
        <f t="shared" si="10"/>
        <v>2027</v>
      </c>
      <c r="K11" s="9">
        <f>+'[7]Colector Ruben Dario'!$V$48</f>
        <v>13538.095853176797</v>
      </c>
      <c r="L11" s="34">
        <f>+'[7]Colector Ruben Dario'!$U$48</f>
        <v>25.159948324938288</v>
      </c>
      <c r="M11" s="44">
        <f t="shared" si="11"/>
        <v>2.8230554963855949</v>
      </c>
      <c r="N11" s="34">
        <f t="shared" si="12"/>
        <v>71.02793040749458</v>
      </c>
      <c r="O11" s="34">
        <f t="shared" si="4"/>
        <v>5.0319896649876581</v>
      </c>
      <c r="P11" s="34">
        <f t="shared" si="13"/>
        <v>76.059920072482242</v>
      </c>
      <c r="Q11" s="34">
        <f>+'[7]Colector Ruben Dario'!$AA$48</f>
        <v>6.1654473577596516</v>
      </c>
      <c r="R11" s="57">
        <f t="shared" si="14"/>
        <v>82.225367430241889</v>
      </c>
      <c r="T11" s="46">
        <f t="shared" si="6"/>
        <v>82.225367430241889</v>
      </c>
      <c r="U11" s="46">
        <f t="shared" si="15"/>
        <v>0</v>
      </c>
    </row>
    <row r="12" spans="1:21" x14ac:dyDescent="0.3">
      <c r="B12" s="2">
        <f t="shared" si="7"/>
        <v>2028</v>
      </c>
      <c r="C12" s="3">
        <f t="shared" si="8"/>
        <v>99.611296217410995</v>
      </c>
      <c r="D12" s="3">
        <f t="shared" si="0"/>
        <v>99.611296217410995</v>
      </c>
      <c r="E12" s="3">
        <f t="shared" si="9"/>
        <v>1.0347671331509252</v>
      </c>
      <c r="F12" s="3">
        <f t="shared" si="9"/>
        <v>350.0967201123035</v>
      </c>
      <c r="G12" s="3">
        <f>+'[8]Colector Ruben Dario'!$AB$48</f>
        <v>83.916724924177245</v>
      </c>
      <c r="H12" s="3">
        <f t="shared" si="1"/>
        <v>15.69457129323375</v>
      </c>
      <c r="J12" s="56">
        <f t="shared" si="10"/>
        <v>2028</v>
      </c>
      <c r="K12" s="9">
        <f>+'[8]Colector Ruben Dario'!$V$48</f>
        <v>13645.930524447764</v>
      </c>
      <c r="L12" s="34">
        <f>+'[8]Colector Ruben Dario'!$U$48</f>
        <v>25.713278676347635</v>
      </c>
      <c r="M12" s="44">
        <f t="shared" si="11"/>
        <v>2.8195902601995746</v>
      </c>
      <c r="N12" s="34">
        <f t="shared" si="12"/>
        <v>72.500910113627199</v>
      </c>
      <c r="O12" s="34">
        <f t="shared" si="4"/>
        <v>5.1426557352695275</v>
      </c>
      <c r="P12" s="34">
        <f t="shared" si="13"/>
        <v>77.643565848896728</v>
      </c>
      <c r="Q12" s="34">
        <f>+'[8]Colector Ruben Dario'!$AA$48</f>
        <v>6.2731590752805158</v>
      </c>
      <c r="R12" s="57">
        <f t="shared" si="14"/>
        <v>83.916724924177245</v>
      </c>
      <c r="T12" s="46">
        <f t="shared" si="6"/>
        <v>83.916724924177245</v>
      </c>
      <c r="U12" s="46">
        <f t="shared" si="15"/>
        <v>0</v>
      </c>
    </row>
    <row r="13" spans="1:21" x14ac:dyDescent="0.3">
      <c r="B13" s="2">
        <f t="shared" si="7"/>
        <v>2029</v>
      </c>
      <c r="C13" s="3">
        <f t="shared" si="8"/>
        <v>99.611296217410995</v>
      </c>
      <c r="D13" s="3">
        <f t="shared" si="0"/>
        <v>99.611296217410995</v>
      </c>
      <c r="E13" s="3">
        <f t="shared" si="9"/>
        <v>1.0347671331509252</v>
      </c>
      <c r="F13" s="3">
        <f t="shared" si="9"/>
        <v>350.0967201123035</v>
      </c>
      <c r="G13" s="3">
        <f>+'[9]Colector Ruben Dario'!$AB$48</f>
        <v>85.611942776818324</v>
      </c>
      <c r="H13" s="3">
        <f t="shared" si="1"/>
        <v>13.999353440592671</v>
      </c>
      <c r="J13" s="56">
        <f t="shared" si="10"/>
        <v>2029</v>
      </c>
      <c r="K13" s="9">
        <f>+'[9]Colector Ruben Dario'!$V$48</f>
        <v>13754.152046557369</v>
      </c>
      <c r="L13" s="34">
        <f>+'[9]Colector Ruben Dario'!$U$48</f>
        <v>26.268838944556883</v>
      </c>
      <c r="M13" s="44">
        <f t="shared" si="11"/>
        <v>2.8161394719032136</v>
      </c>
      <c r="N13" s="34">
        <f t="shared" si="12"/>
        <v>73.976714232834993</v>
      </c>
      <c r="O13" s="34">
        <f t="shared" si="4"/>
        <v>5.253767788911377</v>
      </c>
      <c r="P13" s="34">
        <f t="shared" si="13"/>
        <v>79.230482021746369</v>
      </c>
      <c r="Q13" s="34">
        <f>+'[9]Colector Ruben Dario'!$AA$48</f>
        <v>6.3814607550719629</v>
      </c>
      <c r="R13" s="57">
        <f t="shared" si="14"/>
        <v>85.611942776818324</v>
      </c>
      <c r="T13" s="46">
        <f t="shared" si="6"/>
        <v>85.611942776818324</v>
      </c>
      <c r="U13" s="46">
        <f t="shared" si="15"/>
        <v>0</v>
      </c>
    </row>
    <row r="14" spans="1:21" x14ac:dyDescent="0.3">
      <c r="B14" s="2">
        <f t="shared" si="7"/>
        <v>2030</v>
      </c>
      <c r="C14" s="3">
        <f t="shared" si="8"/>
        <v>99.611296217410995</v>
      </c>
      <c r="D14" s="3">
        <f t="shared" si="0"/>
        <v>99.611296217410995</v>
      </c>
      <c r="E14" s="3">
        <f t="shared" si="9"/>
        <v>1.0347671331509252</v>
      </c>
      <c r="F14" s="3">
        <f t="shared" si="9"/>
        <v>350.0967201123035</v>
      </c>
      <c r="G14" s="3">
        <f>+'[10]Colector Ruben Dario'!$AB$48</f>
        <v>87.324133679897145</v>
      </c>
      <c r="H14" s="3">
        <f t="shared" si="1"/>
        <v>12.287162537513851</v>
      </c>
      <c r="J14" s="56">
        <f t="shared" si="10"/>
        <v>2030</v>
      </c>
      <c r="K14" s="9">
        <f>+'[10]Colector Ruben Dario'!$V$48</f>
        <v>13862.953844924938</v>
      </c>
      <c r="L14" s="34">
        <f>+'[10]Colector Ruben Dario'!$U$48</f>
        <v>26.830723668745016</v>
      </c>
      <c r="M14" s="44">
        <f t="shared" si="11"/>
        <v>2.8126969303028329</v>
      </c>
      <c r="N14" s="34">
        <f t="shared" si="12"/>
        <v>75.466694100882663</v>
      </c>
      <c r="O14" s="34">
        <f t="shared" si="4"/>
        <v>5.3661447337490031</v>
      </c>
      <c r="P14" s="34">
        <f t="shared" si="13"/>
        <v>80.832838834631673</v>
      </c>
      <c r="Q14" s="34">
        <f>+'[10]Colector Ruben Dario'!$AA$48</f>
        <v>6.4912948452654771</v>
      </c>
      <c r="R14" s="57">
        <f t="shared" si="14"/>
        <v>87.324133679897145</v>
      </c>
      <c r="T14" s="46">
        <f t="shared" si="6"/>
        <v>87.324133679897145</v>
      </c>
      <c r="U14" s="46">
        <f t="shared" si="15"/>
        <v>0</v>
      </c>
    </row>
    <row r="15" spans="1:21" x14ac:dyDescent="0.3">
      <c r="B15" s="2">
        <f t="shared" si="7"/>
        <v>2031</v>
      </c>
      <c r="C15" s="3">
        <f t="shared" si="8"/>
        <v>99.611296217410995</v>
      </c>
      <c r="D15" s="3">
        <f t="shared" si="0"/>
        <v>99.611296217410995</v>
      </c>
      <c r="E15" s="3">
        <f t="shared" si="9"/>
        <v>1.0347671331509252</v>
      </c>
      <c r="F15" s="3">
        <f t="shared" si="9"/>
        <v>350.0967201123035</v>
      </c>
      <c r="G15" s="3">
        <f>+'[11]Colector Ruben Dario'!$AB$48</f>
        <v>89.071229994637193</v>
      </c>
      <c r="H15" s="3">
        <f t="shared" si="1"/>
        <v>10.540066222773802</v>
      </c>
      <c r="J15" s="56">
        <f t="shared" si="10"/>
        <v>2031</v>
      </c>
      <c r="K15" s="9">
        <f>+'[11]Colector Ruben Dario'!$V$48</f>
        <v>13972.335919550464</v>
      </c>
      <c r="L15" s="34">
        <f>+'[11]Colector Ruben Dario'!$U$48</f>
        <v>27.397895491625132</v>
      </c>
      <c r="M15" s="44">
        <f t="shared" si="11"/>
        <v>2.8092626723691048</v>
      </c>
      <c r="N15" s="34">
        <f t="shared" si="12"/>
        <v>76.967885106092268</v>
      </c>
      <c r="O15" s="34">
        <f t="shared" si="4"/>
        <v>5.4795790983250265</v>
      </c>
      <c r="P15" s="34">
        <f t="shared" si="13"/>
        <v>82.447464204417301</v>
      </c>
      <c r="Q15" s="34">
        <f>+'[11]Colector Ruben Dario'!$AA$48</f>
        <v>6.6237657902198928</v>
      </c>
      <c r="R15" s="57">
        <f t="shared" si="14"/>
        <v>89.071229994637193</v>
      </c>
      <c r="T15" s="46">
        <f t="shared" si="6"/>
        <v>89.071229994637193</v>
      </c>
      <c r="U15" s="46">
        <f t="shared" si="15"/>
        <v>0</v>
      </c>
    </row>
    <row r="16" spans="1:21" x14ac:dyDescent="0.3">
      <c r="B16" s="2">
        <f t="shared" si="7"/>
        <v>2032</v>
      </c>
      <c r="C16" s="3">
        <f t="shared" si="8"/>
        <v>99.611296217410995</v>
      </c>
      <c r="D16" s="3">
        <f t="shared" si="0"/>
        <v>99.611296217410995</v>
      </c>
      <c r="E16" s="3">
        <f t="shared" si="9"/>
        <v>1.0347671331509252</v>
      </c>
      <c r="F16" s="3">
        <f t="shared" si="9"/>
        <v>350.0967201123035</v>
      </c>
      <c r="G16" s="3">
        <f>+'[12]Colector Ruben Dario'!$AB$48</f>
        <v>90.839647101124896</v>
      </c>
      <c r="H16" s="3">
        <f t="shared" si="1"/>
        <v>8.771649116286099</v>
      </c>
      <c r="J16" s="56">
        <f t="shared" si="10"/>
        <v>2032</v>
      </c>
      <c r="K16" s="9">
        <f>+'[12]Colector Ruben Dario'!$V$48</f>
        <v>14082.298270433952</v>
      </c>
      <c r="L16" s="34">
        <f>+'[12]Colector Ruben Dario'!$U$48</f>
        <v>27.972475818083264</v>
      </c>
      <c r="M16" s="44">
        <f t="shared" si="11"/>
        <v>2.805836733434881</v>
      </c>
      <c r="N16" s="34">
        <f t="shared" si="12"/>
        <v>78.486200175496947</v>
      </c>
      <c r="O16" s="34">
        <f t="shared" si="4"/>
        <v>5.5944951636166529</v>
      </c>
      <c r="P16" s="34">
        <f t="shared" si="13"/>
        <v>84.080695339113603</v>
      </c>
      <c r="Q16" s="34">
        <f>+'[12]Colector Ruben Dario'!$AA$48</f>
        <v>6.7589517620112991</v>
      </c>
      <c r="R16" s="57">
        <f t="shared" si="14"/>
        <v>90.839647101124896</v>
      </c>
      <c r="T16" s="46">
        <f t="shared" si="6"/>
        <v>90.839647101124896</v>
      </c>
      <c r="U16" s="46">
        <f t="shared" si="15"/>
        <v>0</v>
      </c>
    </row>
    <row r="17" spans="2:21" x14ac:dyDescent="0.3">
      <c r="B17" s="2">
        <f t="shared" si="7"/>
        <v>2033</v>
      </c>
      <c r="C17" s="3">
        <f t="shared" si="8"/>
        <v>99.611296217410995</v>
      </c>
      <c r="D17" s="3">
        <f t="shared" si="0"/>
        <v>99.611296217410995</v>
      </c>
      <c r="E17" s="3">
        <f t="shared" si="9"/>
        <v>1.0347671331509252</v>
      </c>
      <c r="F17" s="3">
        <f t="shared" si="9"/>
        <v>350.0967201123035</v>
      </c>
      <c r="G17" s="3">
        <f>+'[13]Colector Ruben Dario'!$AB$48</f>
        <v>92.610840745461161</v>
      </c>
      <c r="H17" s="3">
        <f t="shared" si="1"/>
        <v>7.0004554719498344</v>
      </c>
      <c r="J17" s="56">
        <f t="shared" si="10"/>
        <v>2033</v>
      </c>
      <c r="K17" s="9">
        <f>+'[13]Colector Ruben Dario'!$V$48</f>
        <v>14192.937610285058</v>
      </c>
      <c r="L17" s="34">
        <f>+'[13]Colector Ruben Dario'!$U$48</f>
        <v>28.549126356385251</v>
      </c>
      <c r="M17" s="44">
        <f t="shared" si="11"/>
        <v>2.8024161687092883</v>
      </c>
      <c r="N17" s="34">
        <f t="shared" si="12"/>
        <v>80.006533303658514</v>
      </c>
      <c r="O17" s="34">
        <f t="shared" si="4"/>
        <v>5.709825271277051</v>
      </c>
      <c r="P17" s="34">
        <f t="shared" si="13"/>
        <v>85.716358574935569</v>
      </c>
      <c r="Q17" s="34">
        <f>+'[13]Colector Ruben Dario'!$AA$48</f>
        <v>6.8944821705255972</v>
      </c>
      <c r="R17" s="57">
        <f t="shared" si="14"/>
        <v>92.610840745461161</v>
      </c>
      <c r="T17" s="46">
        <f t="shared" si="6"/>
        <v>92.610840745461161</v>
      </c>
      <c r="U17" s="46">
        <f t="shared" si="15"/>
        <v>0</v>
      </c>
    </row>
    <row r="18" spans="2:21" x14ac:dyDescent="0.3">
      <c r="B18" s="2">
        <f t="shared" si="7"/>
        <v>2034</v>
      </c>
      <c r="C18" s="3">
        <f t="shared" si="8"/>
        <v>99.611296217410995</v>
      </c>
      <c r="D18" s="3">
        <f t="shared" si="0"/>
        <v>99.611296217410995</v>
      </c>
      <c r="E18" s="3">
        <f t="shared" si="9"/>
        <v>1.0347671331509252</v>
      </c>
      <c r="F18" s="3">
        <f t="shared" si="9"/>
        <v>350.0967201123035</v>
      </c>
      <c r="G18" s="3">
        <f>+'[14]Colector Ruben Dario'!$AB$48</f>
        <v>94.399066587886921</v>
      </c>
      <c r="H18" s="3">
        <f t="shared" si="1"/>
        <v>5.2122296295240744</v>
      </c>
      <c r="J18" s="56">
        <f t="shared" si="10"/>
        <v>2034</v>
      </c>
      <c r="K18" s="9">
        <f>+'[14]Colector Ruben Dario'!$V$48</f>
        <v>14303.963800974805</v>
      </c>
      <c r="L18" s="34">
        <f>+'[14]Colector Ruben Dario'!$U$48</f>
        <v>29.132166717942255</v>
      </c>
      <c r="M18" s="44">
        <f t="shared" si="11"/>
        <v>2.7990099459299822</v>
      </c>
      <c r="N18" s="34">
        <f t="shared" si="12"/>
        <v>81.541224390010782</v>
      </c>
      <c r="O18" s="34">
        <f t="shared" si="4"/>
        <v>5.8264333435884517</v>
      </c>
      <c r="P18" s="34">
        <f t="shared" si="13"/>
        <v>87.367657733599231</v>
      </c>
      <c r="Q18" s="34">
        <f>+'[14]Colector Ruben Dario'!$AA$48</f>
        <v>7.0314088542876929</v>
      </c>
      <c r="R18" s="57">
        <f t="shared" si="14"/>
        <v>94.399066587886921</v>
      </c>
      <c r="T18" s="46">
        <f t="shared" si="6"/>
        <v>94.399066587886921</v>
      </c>
      <c r="U18" s="46">
        <f t="shared" si="15"/>
        <v>0</v>
      </c>
    </row>
    <row r="19" spans="2:21" x14ac:dyDescent="0.3">
      <c r="B19" s="2">
        <f t="shared" si="7"/>
        <v>2035</v>
      </c>
      <c r="C19" s="3">
        <f t="shared" si="8"/>
        <v>99.611296217410995</v>
      </c>
      <c r="D19" s="3">
        <f t="shared" si="0"/>
        <v>99.611296217410995</v>
      </c>
      <c r="E19" s="3">
        <f t="shared" si="9"/>
        <v>1.0347671331509252</v>
      </c>
      <c r="F19" s="3">
        <f t="shared" si="9"/>
        <v>350.0967201123035</v>
      </c>
      <c r="G19" s="3">
        <f>+'[15]Colector Ruben Dario'!$AB$48</f>
        <v>96.200347445323573</v>
      </c>
      <c r="H19" s="3">
        <f t="shared" si="1"/>
        <v>3.4109487720874228</v>
      </c>
      <c r="J19" s="56">
        <f t="shared" si="10"/>
        <v>2035</v>
      </c>
      <c r="K19" s="9">
        <f>+'[15]Colector Ruben Dario'!$V$48</f>
        <v>14415.763693341833</v>
      </c>
      <c r="L19" s="34">
        <f>+'[15]Colector Ruben Dario'!$U$48</f>
        <v>29.720494178191231</v>
      </c>
      <c r="M19" s="44">
        <f t="shared" si="11"/>
        <v>2.7956062270440327</v>
      </c>
      <c r="N19" s="34">
        <f t="shared" si="12"/>
        <v>83.086798595377331</v>
      </c>
      <c r="O19" s="34">
        <f t="shared" si="4"/>
        <v>5.9440988356382469</v>
      </c>
      <c r="P19" s="34">
        <f t="shared" si="13"/>
        <v>89.030897431015575</v>
      </c>
      <c r="Q19" s="34">
        <f>+'[15]Colector Ruben Dario'!$AA$48</f>
        <v>7.1694500143080022</v>
      </c>
      <c r="R19" s="57">
        <f t="shared" si="14"/>
        <v>96.200347445323573</v>
      </c>
      <c r="T19" s="46">
        <f t="shared" si="6"/>
        <v>96.200347445323573</v>
      </c>
      <c r="U19" s="46">
        <f t="shared" si="15"/>
        <v>0</v>
      </c>
    </row>
    <row r="20" spans="2:21" x14ac:dyDescent="0.3">
      <c r="B20" s="2">
        <f t="shared" si="7"/>
        <v>2036</v>
      </c>
      <c r="C20" s="3">
        <f t="shared" si="8"/>
        <v>99.611296217410995</v>
      </c>
      <c r="D20" s="3">
        <f t="shared" si="0"/>
        <v>99.611296217410995</v>
      </c>
      <c r="E20" s="3">
        <f t="shared" si="9"/>
        <v>1.0347671331509252</v>
      </c>
      <c r="F20" s="3">
        <f t="shared" si="9"/>
        <v>350.0967201123035</v>
      </c>
      <c r="G20" s="3">
        <f>+'[16]Colector Ruben Dario'!$AB$48</f>
        <v>98.022075736315003</v>
      </c>
      <c r="H20" s="3">
        <f t="shared" si="1"/>
        <v>1.5892204810959925</v>
      </c>
      <c r="J20" s="56">
        <f t="shared" si="10"/>
        <v>2036</v>
      </c>
      <c r="K20" s="9">
        <f>+'[16]Colector Ruben Dario'!$V$48</f>
        <v>14528.047149257163</v>
      </c>
      <c r="L20" s="34">
        <f>+'[16]Colector Ruben Dario'!$U$48</f>
        <v>30.316324479698174</v>
      </c>
      <c r="M20" s="44">
        <f t="shared" si="11"/>
        <v>2.7922139083542321</v>
      </c>
      <c r="N20" s="34">
        <f t="shared" si="12"/>
        <v>84.649662862393129</v>
      </c>
      <c r="O20" s="34">
        <f t="shared" si="4"/>
        <v>6.0632648959396356</v>
      </c>
      <c r="P20" s="34">
        <f t="shared" si="13"/>
        <v>90.712927758332768</v>
      </c>
      <c r="Q20" s="34">
        <f>+'[16]Colector Ruben Dario'!$AA$48</f>
        <v>7.3091479779822288</v>
      </c>
      <c r="R20" s="57">
        <f t="shared" si="14"/>
        <v>98.022075736315003</v>
      </c>
      <c r="T20" s="46">
        <f t="shared" si="6"/>
        <v>98.022075736315003</v>
      </c>
      <c r="U20" s="46">
        <f t="shared" si="15"/>
        <v>0</v>
      </c>
    </row>
    <row r="21" spans="2:21" ht="13.8" thickBot="1" x14ac:dyDescent="0.35">
      <c r="B21" s="2">
        <f t="shared" si="7"/>
        <v>2037</v>
      </c>
      <c r="C21" s="3">
        <f t="shared" si="8"/>
        <v>99.611296217410995</v>
      </c>
      <c r="D21" s="3">
        <f t="shared" si="0"/>
        <v>99.611296217410995</v>
      </c>
      <c r="E21" s="3">
        <f t="shared" si="9"/>
        <v>1.0347671331509252</v>
      </c>
      <c r="F21" s="3">
        <f t="shared" si="9"/>
        <v>350.0967201123035</v>
      </c>
      <c r="G21" s="3">
        <f>+'[17]Colector Ruben Dario'!$AB$48</f>
        <v>99.845943832483201</v>
      </c>
      <c r="H21" s="3">
        <f t="shared" si="1"/>
        <v>-0.23464761507220544</v>
      </c>
      <c r="I21" s="13">
        <f>+G21/G6-1</f>
        <v>0.35995821827185548</v>
      </c>
      <c r="J21" s="58">
        <f t="shared" si="10"/>
        <v>2037</v>
      </c>
      <c r="K21" s="59">
        <f>+'[17]Colector Ruben Dario'!$V$48</f>
        <v>14641.007594140112</v>
      </c>
      <c r="L21" s="60">
        <f>+'[17]Colector Ruben Dario'!$U$48</f>
        <v>30.914065288092893</v>
      </c>
      <c r="M21" s="61">
        <f t="shared" si="11"/>
        <v>2.7888271732935461</v>
      </c>
      <c r="N21" s="60">
        <f t="shared" si="12"/>
        <v>86.213985312404233</v>
      </c>
      <c r="O21" s="60">
        <f t="shared" si="4"/>
        <v>6.1828130576185787</v>
      </c>
      <c r="P21" s="60">
        <f t="shared" si="13"/>
        <v>92.396798370022807</v>
      </c>
      <c r="Q21" s="60">
        <f>+'[17]Colector Ruben Dario'!$AA$48</f>
        <v>7.4491454624603879</v>
      </c>
      <c r="R21" s="62">
        <f t="shared" si="14"/>
        <v>99.845943832483201</v>
      </c>
      <c r="T21" s="46">
        <f t="shared" si="6"/>
        <v>99.845943832483201</v>
      </c>
      <c r="U21" s="46">
        <f t="shared" ref="U21" si="16">+R21-T21</f>
        <v>0</v>
      </c>
    </row>
    <row r="22" spans="2:21" x14ac:dyDescent="0.3">
      <c r="L22" s="44"/>
      <c r="M22" s="34"/>
      <c r="N22" s="34"/>
      <c r="O22" s="34"/>
      <c r="Q22" s="34"/>
      <c r="S22" s="46"/>
      <c r="T22" s="46"/>
    </row>
    <row r="23" spans="2:21" x14ac:dyDescent="0.3">
      <c r="L23" s="44"/>
      <c r="M23" s="34"/>
      <c r="N23" s="34"/>
      <c r="O23" s="34"/>
      <c r="Q23" s="34"/>
      <c r="S23" s="46"/>
      <c r="T23" s="46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U23"/>
  <sheetViews>
    <sheetView showGridLines="0" zoomScaleNormal="10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1" ht="13.8" thickBot="1" x14ac:dyDescent="0.35"/>
    <row r="2" spans="1:21" x14ac:dyDescent="0.3">
      <c r="B2" s="5" t="s">
        <v>39</v>
      </c>
      <c r="E2" s="6" t="s">
        <v>7</v>
      </c>
      <c r="F2" s="7">
        <f>+'[17]Colector San Pablo'!$N$34</f>
        <v>678.38</v>
      </c>
      <c r="G2" s="8" t="s">
        <v>8</v>
      </c>
      <c r="J2" s="47"/>
      <c r="K2" s="48" t="s">
        <v>98</v>
      </c>
      <c r="L2" s="49"/>
      <c r="M2" s="49"/>
      <c r="N2" s="49"/>
      <c r="O2" s="49"/>
      <c r="P2" s="49"/>
      <c r="Q2" s="49"/>
      <c r="R2" s="50"/>
    </row>
    <row r="3" spans="1:21" x14ac:dyDescent="0.3">
      <c r="J3" s="51"/>
      <c r="K3" s="42" t="s">
        <v>132</v>
      </c>
      <c r="N3" s="12" t="s">
        <v>133</v>
      </c>
      <c r="R3" s="52"/>
    </row>
    <row r="4" spans="1:21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J4" s="51"/>
      <c r="O4" s="53">
        <v>0.2</v>
      </c>
      <c r="Q4" s="43" t="s">
        <v>94</v>
      </c>
      <c r="R4" s="52"/>
    </row>
    <row r="5" spans="1:21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J5" s="54" t="s">
        <v>0</v>
      </c>
      <c r="K5" s="45" t="s">
        <v>90</v>
      </c>
      <c r="L5" s="45" t="s">
        <v>99</v>
      </c>
      <c r="M5" s="45" t="s">
        <v>91</v>
      </c>
      <c r="N5" s="45" t="s">
        <v>92</v>
      </c>
      <c r="O5" s="45" t="s">
        <v>93</v>
      </c>
      <c r="P5" s="45" t="s">
        <v>100</v>
      </c>
      <c r="Q5" s="45" t="s">
        <v>134</v>
      </c>
      <c r="R5" s="55" t="s">
        <v>101</v>
      </c>
      <c r="S5" s="45"/>
      <c r="T5" s="45" t="s">
        <v>92</v>
      </c>
      <c r="U5" s="45" t="s">
        <v>97</v>
      </c>
    </row>
    <row r="6" spans="1:21" x14ac:dyDescent="0.3">
      <c r="A6" s="12" t="s">
        <v>6</v>
      </c>
      <c r="B6" s="2">
        <f>+'Colec San Miguel'!B6</f>
        <v>2022</v>
      </c>
      <c r="C6" s="3">
        <f>+SUMPRODUCT('[17]Colector San Pablo'!$AL$17:$AL$34,'[17]Colector San Pablo'!$M$17:$M$34)/F2</f>
        <v>24.87533684670403</v>
      </c>
      <c r="D6" s="3">
        <f t="shared" ref="D6:D21" si="0">+C6</f>
        <v>24.87533684670403</v>
      </c>
      <c r="E6" s="3">
        <f>D6/(0.25*PI()*(F6/1000)^2)/1000</f>
        <v>0.89421067650890518</v>
      </c>
      <c r="F6" s="3">
        <f>+SUMPRODUCT('[17]Colector San Pablo'!$F$17:$F$34,'[17]Colector San Pablo'!$M$17:$M$34)/F2</f>
        <v>188.19999999999996</v>
      </c>
      <c r="G6" s="3">
        <f>+'[2]Colector San Pablo'!$AB$34</f>
        <v>5.3483619328543739</v>
      </c>
      <c r="H6" s="3">
        <f t="shared" ref="H6:H21" si="1">+D6-G6</f>
        <v>19.526974913849656</v>
      </c>
      <c r="J6" s="56">
        <f>+B6</f>
        <v>2022</v>
      </c>
      <c r="K6" s="9">
        <f>+'[1]Cuadros 3-6 Demanda x PEAS'!E540</f>
        <v>847.41444460736056</v>
      </c>
      <c r="L6" s="34">
        <f>+'[1]Cuadros 3-6 Demanda x PEAS'!I540</f>
        <v>1.2074542218654729</v>
      </c>
      <c r="M6" s="44"/>
      <c r="N6" s="34">
        <f>+'[1]Cuadros 3-6 Demanda x PEAS'!K540</f>
        <v>5.1068710884812791</v>
      </c>
      <c r="O6" s="34"/>
      <c r="P6" s="34"/>
      <c r="Q6" s="34">
        <f>+'[2]Colector San Pablo'!$AB$34</f>
        <v>5.3483619328543739</v>
      </c>
      <c r="R6" s="57">
        <f>+Q6+P6</f>
        <v>5.3483619328543739</v>
      </c>
      <c r="T6" s="46">
        <f t="shared" ref="T6:T21" si="2">+G6</f>
        <v>5.3483619328543739</v>
      </c>
      <c r="U6" s="46">
        <f>+R6-T6</f>
        <v>0</v>
      </c>
    </row>
    <row r="7" spans="1:21" x14ac:dyDescent="0.3">
      <c r="B7" s="2">
        <f t="shared" ref="B7:B21" si="3">+B6+1</f>
        <v>2023</v>
      </c>
      <c r="C7" s="3">
        <f t="shared" ref="C7:C21" si="4">+C6</f>
        <v>24.87533684670403</v>
      </c>
      <c r="D7" s="3">
        <f t="shared" si="0"/>
        <v>24.87533684670403</v>
      </c>
      <c r="E7" s="3">
        <f t="shared" ref="E7:F21" si="5">+E6</f>
        <v>0.89421067650890518</v>
      </c>
      <c r="F7" s="3">
        <f t="shared" si="5"/>
        <v>188.19999999999996</v>
      </c>
      <c r="G7" s="3">
        <f>+'[3]Colector San Pablo'!$AB$34</f>
        <v>5.3483619328543739</v>
      </c>
      <c r="H7" s="3">
        <f t="shared" si="1"/>
        <v>19.526974913849656</v>
      </c>
      <c r="J7" s="56">
        <f t="shared" ref="J7:J21" si="6">+B7</f>
        <v>2023</v>
      </c>
      <c r="K7" s="9">
        <f>+'[1]Cuadros 3-6 Demanda x PEAS'!E541</f>
        <v>847.41444460736056</v>
      </c>
      <c r="L7" s="34">
        <f>+'[1]Cuadros 3-6 Demanda x PEAS'!I541</f>
        <v>1.2074542218654729</v>
      </c>
      <c r="M7" s="44"/>
      <c r="N7" s="34">
        <f>+'[1]Cuadros 3-6 Demanda x PEAS'!K541</f>
        <v>5.1068710884812791</v>
      </c>
      <c r="O7" s="34"/>
      <c r="P7" s="34"/>
      <c r="Q7" s="34">
        <f>+'[3]Colector San Pablo'!$AB$34</f>
        <v>5.3483619328543739</v>
      </c>
      <c r="R7" s="57">
        <f t="shared" ref="R7:R21" si="7">+Q7+P7</f>
        <v>5.3483619328543739</v>
      </c>
      <c r="T7" s="46">
        <f t="shared" si="2"/>
        <v>5.3483619328543739</v>
      </c>
      <c r="U7" s="46">
        <f t="shared" ref="U7:U21" si="8">+R7-T7</f>
        <v>0</v>
      </c>
    </row>
    <row r="8" spans="1:21" x14ac:dyDescent="0.3">
      <c r="B8" s="2">
        <f t="shared" si="3"/>
        <v>2024</v>
      </c>
      <c r="C8" s="3">
        <f t="shared" si="4"/>
        <v>24.87533684670403</v>
      </c>
      <c r="D8" s="3">
        <f t="shared" si="0"/>
        <v>24.87533684670403</v>
      </c>
      <c r="E8" s="3">
        <f t="shared" si="5"/>
        <v>0.89421067650890518</v>
      </c>
      <c r="F8" s="3">
        <f t="shared" si="5"/>
        <v>188.19999999999996</v>
      </c>
      <c r="G8" s="3">
        <f>+'[4]Colector San Pablo'!$AB$34</f>
        <v>5.3483619328543739</v>
      </c>
      <c r="H8" s="3">
        <f t="shared" si="1"/>
        <v>19.526974913849656</v>
      </c>
      <c r="J8" s="56">
        <f t="shared" si="6"/>
        <v>2024</v>
      </c>
      <c r="K8" s="9">
        <f>+'[1]Cuadros 3-6 Demanda x PEAS'!E542</f>
        <v>847.41444460736056</v>
      </c>
      <c r="L8" s="34">
        <f>+'[1]Cuadros 3-6 Demanda x PEAS'!I542</f>
        <v>1.2074542218654729</v>
      </c>
      <c r="M8" s="44"/>
      <c r="N8" s="34">
        <f>+'[1]Cuadros 3-6 Demanda x PEAS'!K542</f>
        <v>5.1068710884812791</v>
      </c>
      <c r="O8" s="34"/>
      <c r="P8" s="34"/>
      <c r="Q8" s="34">
        <f>+'[4]Colector San Pablo'!$AB$34</f>
        <v>5.3483619328543739</v>
      </c>
      <c r="R8" s="57">
        <f t="shared" si="7"/>
        <v>5.3483619328543739</v>
      </c>
      <c r="T8" s="46">
        <f t="shared" si="2"/>
        <v>5.3483619328543739</v>
      </c>
      <c r="U8" s="46">
        <f t="shared" si="8"/>
        <v>0</v>
      </c>
    </row>
    <row r="9" spans="1:21" x14ac:dyDescent="0.3">
      <c r="B9" s="2">
        <f t="shared" si="3"/>
        <v>2025</v>
      </c>
      <c r="C9" s="3">
        <f t="shared" si="4"/>
        <v>24.87533684670403</v>
      </c>
      <c r="D9" s="3">
        <f t="shared" si="0"/>
        <v>24.87533684670403</v>
      </c>
      <c r="E9" s="3">
        <f t="shared" si="5"/>
        <v>0.89421067650890518</v>
      </c>
      <c r="F9" s="3">
        <f t="shared" si="5"/>
        <v>188.19999999999996</v>
      </c>
      <c r="G9" s="3">
        <f>+'[5]Colector San Pablo'!$AB$34</f>
        <v>5.3483619328543739</v>
      </c>
      <c r="H9" s="3">
        <f t="shared" si="1"/>
        <v>19.526974913849656</v>
      </c>
      <c r="J9" s="56">
        <f t="shared" si="6"/>
        <v>2025</v>
      </c>
      <c r="K9" s="9">
        <f>+'[1]Cuadros 3-6 Demanda x PEAS'!E543</f>
        <v>847.41444460736056</v>
      </c>
      <c r="L9" s="34">
        <f>+'[1]Cuadros 3-6 Demanda x PEAS'!I543</f>
        <v>1.2074542218654729</v>
      </c>
      <c r="M9" s="44"/>
      <c r="N9" s="34">
        <f>+'[1]Cuadros 3-6 Demanda x PEAS'!K543</f>
        <v>5.1068710884812791</v>
      </c>
      <c r="O9" s="34"/>
      <c r="P9" s="34"/>
      <c r="Q9" s="34">
        <f>+'[5]Colector San Pablo'!$AB$34</f>
        <v>5.3483619328543739</v>
      </c>
      <c r="R9" s="57">
        <f t="shared" si="7"/>
        <v>5.3483619328543739</v>
      </c>
      <c r="T9" s="46">
        <f t="shared" si="2"/>
        <v>5.3483619328543739</v>
      </c>
      <c r="U9" s="46">
        <f t="shared" si="8"/>
        <v>0</v>
      </c>
    </row>
    <row r="10" spans="1:21" x14ac:dyDescent="0.3">
      <c r="B10" s="2">
        <f t="shared" si="3"/>
        <v>2026</v>
      </c>
      <c r="C10" s="3">
        <f t="shared" si="4"/>
        <v>24.87533684670403</v>
      </c>
      <c r="D10" s="3">
        <f t="shared" si="0"/>
        <v>24.87533684670403</v>
      </c>
      <c r="E10" s="3">
        <f t="shared" si="5"/>
        <v>0.89421067650890518</v>
      </c>
      <c r="F10" s="3">
        <f t="shared" si="5"/>
        <v>188.19999999999996</v>
      </c>
      <c r="G10" s="3">
        <f>+'[6]Colector San Pablo'!$AB$34</f>
        <v>5.3483619328543739</v>
      </c>
      <c r="H10" s="3">
        <f t="shared" si="1"/>
        <v>19.526974913849656</v>
      </c>
      <c r="J10" s="56">
        <f t="shared" si="6"/>
        <v>2026</v>
      </c>
      <c r="K10" s="9">
        <f>+'[1]Cuadros 3-6 Demanda x PEAS'!E544</f>
        <v>847.41444460736056</v>
      </c>
      <c r="L10" s="34">
        <f>+'[1]Cuadros 3-6 Demanda x PEAS'!I544</f>
        <v>1.2074542218654729</v>
      </c>
      <c r="M10" s="44"/>
      <c r="N10" s="34">
        <f>+'[1]Cuadros 3-6 Demanda x PEAS'!K544</f>
        <v>5.1068710884812791</v>
      </c>
      <c r="O10" s="34"/>
      <c r="P10" s="34"/>
      <c r="Q10" s="34">
        <f>+'[6]Colector San Pablo'!$AB$34</f>
        <v>5.3483619328543739</v>
      </c>
      <c r="R10" s="57">
        <f t="shared" si="7"/>
        <v>5.3483619328543739</v>
      </c>
      <c r="T10" s="46">
        <f t="shared" si="2"/>
        <v>5.3483619328543739</v>
      </c>
      <c r="U10" s="46">
        <f t="shared" si="8"/>
        <v>0</v>
      </c>
    </row>
    <row r="11" spans="1:21" x14ac:dyDescent="0.3">
      <c r="B11" s="2">
        <f t="shared" si="3"/>
        <v>2027</v>
      </c>
      <c r="C11" s="3">
        <f t="shared" si="4"/>
        <v>24.87533684670403</v>
      </c>
      <c r="D11" s="3">
        <f t="shared" si="0"/>
        <v>24.87533684670403</v>
      </c>
      <c r="E11" s="3">
        <f t="shared" si="5"/>
        <v>0.89421067650890518</v>
      </c>
      <c r="F11" s="3">
        <f t="shared" si="5"/>
        <v>188.19999999999996</v>
      </c>
      <c r="G11" s="3">
        <f>+'[7]Colector San Pablo'!$AB$34</f>
        <v>5.3483619328543739</v>
      </c>
      <c r="H11" s="3">
        <f t="shared" si="1"/>
        <v>19.526974913849656</v>
      </c>
      <c r="J11" s="56">
        <f t="shared" si="6"/>
        <v>2027</v>
      </c>
      <c r="K11" s="9">
        <f>+'[1]Cuadros 3-6 Demanda x PEAS'!E545</f>
        <v>847.41444460736056</v>
      </c>
      <c r="L11" s="34">
        <f>+'[1]Cuadros 3-6 Demanda x PEAS'!I545</f>
        <v>1.2074542218654729</v>
      </c>
      <c r="M11" s="44"/>
      <c r="N11" s="34">
        <f>+'[1]Cuadros 3-6 Demanda x PEAS'!K545</f>
        <v>5.1068710884812791</v>
      </c>
      <c r="O11" s="34"/>
      <c r="P11" s="34"/>
      <c r="Q11" s="34">
        <f>+'[7]Colector San Pablo'!$AB$34</f>
        <v>5.3483619328543739</v>
      </c>
      <c r="R11" s="57">
        <f t="shared" si="7"/>
        <v>5.3483619328543739</v>
      </c>
      <c r="T11" s="46">
        <f t="shared" si="2"/>
        <v>5.3483619328543739</v>
      </c>
      <c r="U11" s="46">
        <f t="shared" si="8"/>
        <v>0</v>
      </c>
    </row>
    <row r="12" spans="1:21" x14ac:dyDescent="0.3">
      <c r="B12" s="2">
        <f t="shared" si="3"/>
        <v>2028</v>
      </c>
      <c r="C12" s="3">
        <f t="shared" si="4"/>
        <v>24.87533684670403</v>
      </c>
      <c r="D12" s="3">
        <f t="shared" si="0"/>
        <v>24.87533684670403</v>
      </c>
      <c r="E12" s="3">
        <f t="shared" si="5"/>
        <v>0.89421067650890518</v>
      </c>
      <c r="F12" s="3">
        <f t="shared" si="5"/>
        <v>188.19999999999996</v>
      </c>
      <c r="G12" s="3">
        <f>+'[8]Colector San Pablo'!$AB$34</f>
        <v>5.3483619328543739</v>
      </c>
      <c r="H12" s="3">
        <f t="shared" si="1"/>
        <v>19.526974913849656</v>
      </c>
      <c r="J12" s="56">
        <f t="shared" si="6"/>
        <v>2028</v>
      </c>
      <c r="K12" s="9">
        <f>+'[1]Cuadros 3-6 Demanda x PEAS'!E546</f>
        <v>847.41444460736056</v>
      </c>
      <c r="L12" s="34">
        <f>+'[1]Cuadros 3-6 Demanda x PEAS'!I546</f>
        <v>1.2074542218654729</v>
      </c>
      <c r="M12" s="44"/>
      <c r="N12" s="34">
        <f>+'[1]Cuadros 3-6 Demanda x PEAS'!K546</f>
        <v>5.1068710884812791</v>
      </c>
      <c r="O12" s="34"/>
      <c r="P12" s="34"/>
      <c r="Q12" s="34">
        <f>+'[8]Colector San Pablo'!$AB$34</f>
        <v>5.3483619328543739</v>
      </c>
      <c r="R12" s="57">
        <f t="shared" si="7"/>
        <v>5.3483619328543739</v>
      </c>
      <c r="T12" s="46">
        <f t="shared" si="2"/>
        <v>5.3483619328543739</v>
      </c>
      <c r="U12" s="46">
        <f t="shared" si="8"/>
        <v>0</v>
      </c>
    </row>
    <row r="13" spans="1:21" x14ac:dyDescent="0.3">
      <c r="B13" s="2">
        <f t="shared" si="3"/>
        <v>2029</v>
      </c>
      <c r="C13" s="3">
        <f t="shared" si="4"/>
        <v>24.87533684670403</v>
      </c>
      <c r="D13" s="3">
        <f t="shared" si="0"/>
        <v>24.87533684670403</v>
      </c>
      <c r="E13" s="3">
        <f t="shared" si="5"/>
        <v>0.89421067650890518</v>
      </c>
      <c r="F13" s="3">
        <f t="shared" si="5"/>
        <v>188.19999999999996</v>
      </c>
      <c r="G13" s="3">
        <f>+'[9]Colector San Pablo'!$AB$34</f>
        <v>5.3483619328543739</v>
      </c>
      <c r="H13" s="3">
        <f t="shared" si="1"/>
        <v>19.526974913849656</v>
      </c>
      <c r="J13" s="56">
        <f t="shared" si="6"/>
        <v>2029</v>
      </c>
      <c r="K13" s="9">
        <f>+'[1]Cuadros 3-6 Demanda x PEAS'!E547</f>
        <v>847.41444460736056</v>
      </c>
      <c r="L13" s="34">
        <f>+'[1]Cuadros 3-6 Demanda x PEAS'!I547</f>
        <v>1.2074542218654729</v>
      </c>
      <c r="M13" s="44"/>
      <c r="N13" s="34">
        <f>+'[1]Cuadros 3-6 Demanda x PEAS'!K547</f>
        <v>5.1068710884812791</v>
      </c>
      <c r="O13" s="34"/>
      <c r="P13" s="34"/>
      <c r="Q13" s="34">
        <f>+'[9]Colector San Pablo'!$AB$34</f>
        <v>5.3483619328543739</v>
      </c>
      <c r="R13" s="57">
        <f t="shared" si="7"/>
        <v>5.3483619328543739</v>
      </c>
      <c r="T13" s="46">
        <f t="shared" si="2"/>
        <v>5.3483619328543739</v>
      </c>
      <c r="U13" s="46">
        <f t="shared" si="8"/>
        <v>0</v>
      </c>
    </row>
    <row r="14" spans="1:21" x14ac:dyDescent="0.3">
      <c r="B14" s="2">
        <f t="shared" si="3"/>
        <v>2030</v>
      </c>
      <c r="C14" s="3">
        <f t="shared" si="4"/>
        <v>24.87533684670403</v>
      </c>
      <c r="D14" s="3">
        <f t="shared" si="0"/>
        <v>24.87533684670403</v>
      </c>
      <c r="E14" s="3">
        <f t="shared" si="5"/>
        <v>0.89421067650890518</v>
      </c>
      <c r="F14" s="3">
        <f t="shared" si="5"/>
        <v>188.19999999999996</v>
      </c>
      <c r="G14" s="3">
        <f>+'[10]Colector San Pablo'!$AB$34</f>
        <v>5.3483619328543739</v>
      </c>
      <c r="H14" s="3">
        <f t="shared" si="1"/>
        <v>19.526974913849656</v>
      </c>
      <c r="J14" s="56">
        <f t="shared" si="6"/>
        <v>2030</v>
      </c>
      <c r="K14" s="9">
        <f>+'[1]Cuadros 3-6 Demanda x PEAS'!E548</f>
        <v>847.41444460736056</v>
      </c>
      <c r="L14" s="34">
        <f>+'[1]Cuadros 3-6 Demanda x PEAS'!I548</f>
        <v>1.2074542218654729</v>
      </c>
      <c r="M14" s="44"/>
      <c r="N14" s="34">
        <f>+'[1]Cuadros 3-6 Demanda x PEAS'!K548</f>
        <v>5.1068710884812791</v>
      </c>
      <c r="O14" s="34"/>
      <c r="P14" s="34"/>
      <c r="Q14" s="34">
        <f>+'[10]Colector San Pablo'!$AB$34</f>
        <v>5.3483619328543739</v>
      </c>
      <c r="R14" s="57">
        <f t="shared" si="7"/>
        <v>5.3483619328543739</v>
      </c>
      <c r="T14" s="46">
        <f t="shared" si="2"/>
        <v>5.3483619328543739</v>
      </c>
      <c r="U14" s="46">
        <f t="shared" si="8"/>
        <v>0</v>
      </c>
    </row>
    <row r="15" spans="1:21" x14ac:dyDescent="0.3">
      <c r="B15" s="2">
        <f t="shared" si="3"/>
        <v>2031</v>
      </c>
      <c r="C15" s="3">
        <f t="shared" si="4"/>
        <v>24.87533684670403</v>
      </c>
      <c r="D15" s="3">
        <f t="shared" si="0"/>
        <v>24.87533684670403</v>
      </c>
      <c r="E15" s="3">
        <f t="shared" si="5"/>
        <v>0.89421067650890518</v>
      </c>
      <c r="F15" s="3">
        <f t="shared" si="5"/>
        <v>188.19999999999996</v>
      </c>
      <c r="G15" s="3">
        <f>+'[11]Colector San Pablo'!$AB$34</f>
        <v>5.3483619328543739</v>
      </c>
      <c r="H15" s="3">
        <f t="shared" si="1"/>
        <v>19.526974913849656</v>
      </c>
      <c r="J15" s="56">
        <f t="shared" si="6"/>
        <v>2031</v>
      </c>
      <c r="K15" s="9">
        <f>+'[1]Cuadros 3-6 Demanda x PEAS'!E549</f>
        <v>847.41444460736056</v>
      </c>
      <c r="L15" s="34">
        <f>+'[1]Cuadros 3-6 Demanda x PEAS'!I549</f>
        <v>1.2074542218654729</v>
      </c>
      <c r="M15" s="44"/>
      <c r="N15" s="34">
        <f>+'[1]Cuadros 3-6 Demanda x PEAS'!K549</f>
        <v>5.1068710884812791</v>
      </c>
      <c r="O15" s="34"/>
      <c r="P15" s="34"/>
      <c r="Q15" s="34">
        <f>+'[11]Colector San Pablo'!$AB$34</f>
        <v>5.3483619328543739</v>
      </c>
      <c r="R15" s="57">
        <f t="shared" si="7"/>
        <v>5.3483619328543739</v>
      </c>
      <c r="T15" s="46">
        <f t="shared" si="2"/>
        <v>5.3483619328543739</v>
      </c>
      <c r="U15" s="46">
        <f t="shared" si="8"/>
        <v>0</v>
      </c>
    </row>
    <row r="16" spans="1:21" x14ac:dyDescent="0.3">
      <c r="B16" s="2">
        <f t="shared" si="3"/>
        <v>2032</v>
      </c>
      <c r="C16" s="3">
        <f t="shared" si="4"/>
        <v>24.87533684670403</v>
      </c>
      <c r="D16" s="3">
        <f t="shared" si="0"/>
        <v>24.87533684670403</v>
      </c>
      <c r="E16" s="3">
        <f t="shared" si="5"/>
        <v>0.89421067650890518</v>
      </c>
      <c r="F16" s="3">
        <f t="shared" si="5"/>
        <v>188.19999999999996</v>
      </c>
      <c r="G16" s="3">
        <f>+'[12]Colector San Pablo'!$AB$34</f>
        <v>5.3483619328543739</v>
      </c>
      <c r="H16" s="3">
        <f t="shared" si="1"/>
        <v>19.526974913849656</v>
      </c>
      <c r="J16" s="56">
        <f t="shared" si="6"/>
        <v>2032</v>
      </c>
      <c r="K16" s="9">
        <f>+'[1]Cuadros 3-6 Demanda x PEAS'!E550</f>
        <v>847.41444460736056</v>
      </c>
      <c r="L16" s="34">
        <f>+'[1]Cuadros 3-6 Demanda x PEAS'!I550</f>
        <v>1.2074542218654729</v>
      </c>
      <c r="M16" s="44"/>
      <c r="N16" s="34">
        <f>+'[1]Cuadros 3-6 Demanda x PEAS'!K550</f>
        <v>5.1068710884812791</v>
      </c>
      <c r="O16" s="34"/>
      <c r="P16" s="34"/>
      <c r="Q16" s="34">
        <f>+'[12]Colector San Pablo'!$AB$34</f>
        <v>5.3483619328543739</v>
      </c>
      <c r="R16" s="57">
        <f t="shared" si="7"/>
        <v>5.3483619328543739</v>
      </c>
      <c r="T16" s="46">
        <f t="shared" si="2"/>
        <v>5.3483619328543739</v>
      </c>
      <c r="U16" s="46">
        <f t="shared" si="8"/>
        <v>0</v>
      </c>
    </row>
    <row r="17" spans="2:21" x14ac:dyDescent="0.3">
      <c r="B17" s="2">
        <f t="shared" si="3"/>
        <v>2033</v>
      </c>
      <c r="C17" s="3">
        <f t="shared" si="4"/>
        <v>24.87533684670403</v>
      </c>
      <c r="D17" s="3">
        <f t="shared" si="0"/>
        <v>24.87533684670403</v>
      </c>
      <c r="E17" s="3">
        <f t="shared" si="5"/>
        <v>0.89421067650890518</v>
      </c>
      <c r="F17" s="3">
        <f t="shared" si="5"/>
        <v>188.19999999999996</v>
      </c>
      <c r="G17" s="3">
        <f>+'[13]Colector San Pablo'!$AB$34</f>
        <v>5.3483619328543739</v>
      </c>
      <c r="H17" s="3">
        <f t="shared" si="1"/>
        <v>19.526974913849656</v>
      </c>
      <c r="J17" s="56">
        <f t="shared" si="6"/>
        <v>2033</v>
      </c>
      <c r="K17" s="9">
        <f>+'[1]Cuadros 3-6 Demanda x PEAS'!E551</f>
        <v>847.41444460736056</v>
      </c>
      <c r="L17" s="34">
        <f>+'[1]Cuadros 3-6 Demanda x PEAS'!I551</f>
        <v>1.2074542218654729</v>
      </c>
      <c r="M17" s="44"/>
      <c r="N17" s="34">
        <f>+'[1]Cuadros 3-6 Demanda x PEAS'!K551</f>
        <v>5.1068710884812791</v>
      </c>
      <c r="O17" s="34"/>
      <c r="P17" s="34"/>
      <c r="Q17" s="34">
        <f>+'[13]Colector San Pablo'!$AB$34</f>
        <v>5.3483619328543739</v>
      </c>
      <c r="R17" s="57">
        <f t="shared" si="7"/>
        <v>5.3483619328543739</v>
      </c>
      <c r="T17" s="46">
        <f t="shared" si="2"/>
        <v>5.3483619328543739</v>
      </c>
      <c r="U17" s="46">
        <f t="shared" si="8"/>
        <v>0</v>
      </c>
    </row>
    <row r="18" spans="2:21" x14ac:dyDescent="0.3">
      <c r="B18" s="2">
        <f t="shared" si="3"/>
        <v>2034</v>
      </c>
      <c r="C18" s="3">
        <f t="shared" si="4"/>
        <v>24.87533684670403</v>
      </c>
      <c r="D18" s="3">
        <f t="shared" si="0"/>
        <v>24.87533684670403</v>
      </c>
      <c r="E18" s="3">
        <f t="shared" si="5"/>
        <v>0.89421067650890518</v>
      </c>
      <c r="F18" s="3">
        <f t="shared" si="5"/>
        <v>188.19999999999996</v>
      </c>
      <c r="G18" s="3">
        <f>+'[14]Colector San Pablo'!$AB$34</f>
        <v>5.3483619328543739</v>
      </c>
      <c r="H18" s="3">
        <f t="shared" si="1"/>
        <v>19.526974913849656</v>
      </c>
      <c r="J18" s="56">
        <f t="shared" si="6"/>
        <v>2034</v>
      </c>
      <c r="K18" s="9">
        <f>+'[1]Cuadros 3-6 Demanda x PEAS'!E552</f>
        <v>847.41444460736056</v>
      </c>
      <c r="L18" s="34">
        <f>+'[1]Cuadros 3-6 Demanda x PEAS'!I552</f>
        <v>1.2074542218654729</v>
      </c>
      <c r="M18" s="44"/>
      <c r="N18" s="34">
        <f>+'[1]Cuadros 3-6 Demanda x PEAS'!K552</f>
        <v>5.1068710884812791</v>
      </c>
      <c r="O18" s="34"/>
      <c r="P18" s="34"/>
      <c r="Q18" s="34">
        <f>+'[14]Colector San Pablo'!$AB$34</f>
        <v>5.3483619328543739</v>
      </c>
      <c r="R18" s="57">
        <f t="shared" si="7"/>
        <v>5.3483619328543739</v>
      </c>
      <c r="T18" s="46">
        <f t="shared" si="2"/>
        <v>5.3483619328543739</v>
      </c>
      <c r="U18" s="46">
        <f t="shared" si="8"/>
        <v>0</v>
      </c>
    </row>
    <row r="19" spans="2:21" x14ac:dyDescent="0.3">
      <c r="B19" s="2">
        <f t="shared" si="3"/>
        <v>2035</v>
      </c>
      <c r="C19" s="3">
        <f t="shared" si="4"/>
        <v>24.87533684670403</v>
      </c>
      <c r="D19" s="3">
        <f t="shared" si="0"/>
        <v>24.87533684670403</v>
      </c>
      <c r="E19" s="3">
        <f t="shared" si="5"/>
        <v>0.89421067650890518</v>
      </c>
      <c r="F19" s="3">
        <f t="shared" si="5"/>
        <v>188.19999999999996</v>
      </c>
      <c r="G19" s="3">
        <f>+'[15]Colector San Pablo'!$AB$34</f>
        <v>5.3483619328543739</v>
      </c>
      <c r="H19" s="3">
        <f t="shared" si="1"/>
        <v>19.526974913849656</v>
      </c>
      <c r="J19" s="56">
        <f t="shared" si="6"/>
        <v>2035</v>
      </c>
      <c r="K19" s="9">
        <f>+'[1]Cuadros 3-6 Demanda x PEAS'!E553</f>
        <v>847.41444460736056</v>
      </c>
      <c r="L19" s="34">
        <f>+'[1]Cuadros 3-6 Demanda x PEAS'!I553</f>
        <v>1.2074542218654729</v>
      </c>
      <c r="M19" s="44"/>
      <c r="N19" s="34">
        <f>+'[1]Cuadros 3-6 Demanda x PEAS'!K553</f>
        <v>5.1068710884812791</v>
      </c>
      <c r="O19" s="34"/>
      <c r="P19" s="34"/>
      <c r="Q19" s="34">
        <f>+'[15]Colector San Pablo'!$AB$34</f>
        <v>5.3483619328543739</v>
      </c>
      <c r="R19" s="57">
        <f t="shared" si="7"/>
        <v>5.3483619328543739</v>
      </c>
      <c r="T19" s="46">
        <f t="shared" si="2"/>
        <v>5.3483619328543739</v>
      </c>
      <c r="U19" s="46">
        <f t="shared" si="8"/>
        <v>0</v>
      </c>
    </row>
    <row r="20" spans="2:21" x14ac:dyDescent="0.3">
      <c r="B20" s="2">
        <f t="shared" si="3"/>
        <v>2036</v>
      </c>
      <c r="C20" s="3">
        <f t="shared" si="4"/>
        <v>24.87533684670403</v>
      </c>
      <c r="D20" s="3">
        <f t="shared" si="0"/>
        <v>24.87533684670403</v>
      </c>
      <c r="E20" s="3">
        <f t="shared" si="5"/>
        <v>0.89421067650890518</v>
      </c>
      <c r="F20" s="3">
        <f t="shared" si="5"/>
        <v>188.19999999999996</v>
      </c>
      <c r="G20" s="3">
        <f>+'[16]Colector San Pablo'!$AB$34</f>
        <v>5.3483619328543739</v>
      </c>
      <c r="H20" s="3">
        <f t="shared" si="1"/>
        <v>19.526974913849656</v>
      </c>
      <c r="J20" s="56">
        <f t="shared" si="6"/>
        <v>2036</v>
      </c>
      <c r="K20" s="9">
        <f>+'[1]Cuadros 3-6 Demanda x PEAS'!E554</f>
        <v>847.41444460736056</v>
      </c>
      <c r="L20" s="34">
        <f>+'[1]Cuadros 3-6 Demanda x PEAS'!I554</f>
        <v>1.2074542218654729</v>
      </c>
      <c r="M20" s="44"/>
      <c r="N20" s="34">
        <f>+'[1]Cuadros 3-6 Demanda x PEAS'!K554</f>
        <v>5.1068710884812791</v>
      </c>
      <c r="O20" s="34"/>
      <c r="P20" s="34"/>
      <c r="Q20" s="34">
        <f>+'[16]Colector San Pablo'!$AB$34</f>
        <v>5.3483619328543739</v>
      </c>
      <c r="R20" s="57">
        <f t="shared" si="7"/>
        <v>5.3483619328543739</v>
      </c>
      <c r="T20" s="46">
        <f t="shared" si="2"/>
        <v>5.3483619328543739</v>
      </c>
      <c r="U20" s="46">
        <f t="shared" si="8"/>
        <v>0</v>
      </c>
    </row>
    <row r="21" spans="2:21" ht="13.8" thickBot="1" x14ac:dyDescent="0.35">
      <c r="B21" s="2">
        <f t="shared" si="3"/>
        <v>2037</v>
      </c>
      <c r="C21" s="3">
        <f t="shared" si="4"/>
        <v>24.87533684670403</v>
      </c>
      <c r="D21" s="3">
        <f t="shared" si="0"/>
        <v>24.87533684670403</v>
      </c>
      <c r="E21" s="3">
        <f t="shared" si="5"/>
        <v>0.89421067650890518</v>
      </c>
      <c r="F21" s="3">
        <f t="shared" si="5"/>
        <v>188.19999999999996</v>
      </c>
      <c r="G21" s="3">
        <f>+'[17]Colector San Pablo'!$AB$34</f>
        <v>5.3483619328543739</v>
      </c>
      <c r="H21" s="3">
        <f t="shared" si="1"/>
        <v>19.526974913849656</v>
      </c>
      <c r="I21" s="13">
        <f>+G21/G6-1</f>
        <v>0</v>
      </c>
      <c r="J21" s="58">
        <f t="shared" si="6"/>
        <v>2037</v>
      </c>
      <c r="K21" s="59">
        <f>+'[1]Cuadros 3-6 Demanda x PEAS'!E555</f>
        <v>847.41444460736056</v>
      </c>
      <c r="L21" s="60">
        <f>+'[1]Cuadros 3-6 Demanda x PEAS'!I555</f>
        <v>1.2074542218654729</v>
      </c>
      <c r="M21" s="61"/>
      <c r="N21" s="60">
        <f>+'[1]Cuadros 3-6 Demanda x PEAS'!K555</f>
        <v>5.1068710884812791</v>
      </c>
      <c r="O21" s="60"/>
      <c r="P21" s="60"/>
      <c r="Q21" s="60">
        <f>+'[17]Colector San Pablo'!$AB$34</f>
        <v>5.3483619328543739</v>
      </c>
      <c r="R21" s="62">
        <f t="shared" si="7"/>
        <v>5.3483619328543739</v>
      </c>
      <c r="T21" s="46">
        <f t="shared" si="2"/>
        <v>5.3483619328543739</v>
      </c>
      <c r="U21" s="46">
        <f t="shared" si="8"/>
        <v>0</v>
      </c>
    </row>
    <row r="22" spans="2:21" x14ac:dyDescent="0.3">
      <c r="J22" s="9"/>
      <c r="L22" s="9"/>
    </row>
    <row r="23" spans="2:21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W23"/>
  <sheetViews>
    <sheetView showGridLines="0" zoomScale="85" zoomScaleNormal="90" workbookViewId="0"/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23" ht="13.8" thickBot="1" x14ac:dyDescent="0.35"/>
    <row r="2" spans="1:23" x14ac:dyDescent="0.3">
      <c r="B2" s="5" t="s">
        <v>64</v>
      </c>
      <c r="E2" s="6" t="s">
        <v>7</v>
      </c>
      <c r="F2" s="7">
        <f>+'[17]Colector Circunvalacion Sur'!$N$37</f>
        <v>1383.7599999999998</v>
      </c>
      <c r="G2" s="8" t="s">
        <v>8</v>
      </c>
      <c r="I2" s="16" t="s">
        <v>65</v>
      </c>
      <c r="J2" s="17">
        <v>1835</v>
      </c>
      <c r="K2" s="15" t="s">
        <v>66</v>
      </c>
      <c r="L2" s="47"/>
      <c r="M2" s="48" t="s">
        <v>98</v>
      </c>
      <c r="N2" s="49"/>
      <c r="O2" s="49"/>
      <c r="P2" s="49"/>
      <c r="Q2" s="49"/>
      <c r="R2" s="49"/>
      <c r="S2" s="49"/>
      <c r="T2" s="50"/>
    </row>
    <row r="3" spans="1:23" x14ac:dyDescent="0.3">
      <c r="L3" s="51"/>
      <c r="M3" s="42" t="s">
        <v>103</v>
      </c>
      <c r="P3" s="12" t="s">
        <v>104</v>
      </c>
      <c r="T3" s="52"/>
    </row>
    <row r="4" spans="1:23" x14ac:dyDescent="0.3">
      <c r="B4" s="96" t="s">
        <v>0</v>
      </c>
      <c r="C4" s="96" t="s">
        <v>20</v>
      </c>
      <c r="D4" s="96" t="s">
        <v>1</v>
      </c>
      <c r="E4" s="96"/>
      <c r="F4" s="96"/>
      <c r="G4" s="96" t="s">
        <v>21</v>
      </c>
      <c r="H4" s="96" t="s">
        <v>2</v>
      </c>
      <c r="I4" s="12" t="s">
        <v>89</v>
      </c>
      <c r="L4" s="51"/>
      <c r="Q4" s="53">
        <v>0.2</v>
      </c>
      <c r="S4" s="43" t="s">
        <v>94</v>
      </c>
      <c r="T4" s="52"/>
    </row>
    <row r="5" spans="1:23" x14ac:dyDescent="0.3">
      <c r="B5" s="96"/>
      <c r="C5" s="96"/>
      <c r="D5" s="18" t="s">
        <v>3</v>
      </c>
      <c r="E5" s="18" t="s">
        <v>4</v>
      </c>
      <c r="F5" s="18" t="s">
        <v>5</v>
      </c>
      <c r="G5" s="96"/>
      <c r="H5" s="96"/>
      <c r="L5" s="54" t="s">
        <v>0</v>
      </c>
      <c r="M5" s="45" t="s">
        <v>90</v>
      </c>
      <c r="N5" s="45" t="s">
        <v>99</v>
      </c>
      <c r="O5" s="45" t="s">
        <v>91</v>
      </c>
      <c r="P5" s="45" t="s">
        <v>92</v>
      </c>
      <c r="Q5" s="45" t="s">
        <v>93</v>
      </c>
      <c r="R5" s="45" t="s">
        <v>100</v>
      </c>
      <c r="S5" s="45"/>
      <c r="T5" s="55" t="s">
        <v>101</v>
      </c>
      <c r="U5" s="45"/>
      <c r="V5" s="45" t="s">
        <v>92</v>
      </c>
      <c r="W5" s="45" t="s">
        <v>97</v>
      </c>
    </row>
    <row r="6" spans="1:23" x14ac:dyDescent="0.3">
      <c r="A6" s="12" t="s">
        <v>6</v>
      </c>
      <c r="B6" s="2">
        <f>+'Colec Francia II'!B6</f>
        <v>2022</v>
      </c>
      <c r="C6" s="3">
        <f>+SUMPRODUCT('[17]Colector Circunvalacion Sur'!$AL$17:$AL$37,'[17]Colector Circunvalacion Sur'!$M$17:$M$37)/F2</f>
        <v>151.08889362891873</v>
      </c>
      <c r="D6" s="3">
        <f t="shared" ref="D6:D21" si="0">+C6</f>
        <v>151.08889362891873</v>
      </c>
      <c r="E6" s="3">
        <f>D6/(0.25*PI()*(F6/1000)^2)/1000</f>
        <v>1.3815779853942258</v>
      </c>
      <c r="F6" s="3">
        <f>+SUMPRODUCT('[17]Colector Circunvalacion Sur'!$F$17:$F$37,'[17]Colector Circunvalacion Sur'!$M$17:$M$37)/F2</f>
        <v>373.15015609643291</v>
      </c>
      <c r="G6" s="3">
        <f>+'[2]Colector Circunvalacion Sur'!$AB$37</f>
        <v>61.377606125110233</v>
      </c>
      <c r="H6" s="3">
        <f t="shared" ref="H6:H21" si="1">+D6-G6</f>
        <v>89.711287503808492</v>
      </c>
      <c r="L6" s="56">
        <f t="shared" ref="L6:L21" si="2">+B6</f>
        <v>2022</v>
      </c>
      <c r="M6" s="9">
        <f>+'[2]Colector Circunvalacion Sur'!$Q$17</f>
        <v>7910.2067195911259</v>
      </c>
      <c r="N6" s="34">
        <f>+'[2]Colector Circunvalacion Sur'!$P$17</f>
        <v>18.856157357750352</v>
      </c>
      <c r="O6" s="44">
        <f>1+(14/(4+(SQRT(M6/1000))))</f>
        <v>3.0550431649788128</v>
      </c>
      <c r="P6" s="34">
        <f>+O6*N6</f>
        <v>57.60637465356016</v>
      </c>
      <c r="Q6" s="34">
        <f>+N6*$Q$4</f>
        <v>3.7712314715500703</v>
      </c>
      <c r="R6" s="34">
        <f>+Q6+P6</f>
        <v>61.377606125110233</v>
      </c>
      <c r="S6" s="34">
        <v>0</v>
      </c>
      <c r="T6" s="66">
        <f>+S6+R6</f>
        <v>61.377606125110233</v>
      </c>
      <c r="V6" s="46">
        <f>+G6</f>
        <v>61.377606125110233</v>
      </c>
      <c r="W6" s="46">
        <f>+T6-V6</f>
        <v>0</v>
      </c>
    </row>
    <row r="7" spans="1:23" x14ac:dyDescent="0.3">
      <c r="B7" s="2">
        <f t="shared" ref="B7:B21" si="3">+B6+1</f>
        <v>2023</v>
      </c>
      <c r="C7" s="3">
        <f t="shared" ref="C7:C21" si="4">+C6</f>
        <v>151.08889362891873</v>
      </c>
      <c r="D7" s="3">
        <f t="shared" si="0"/>
        <v>151.08889362891873</v>
      </c>
      <c r="E7" s="3">
        <f t="shared" ref="E7:F21" si="5">+E6</f>
        <v>1.3815779853942258</v>
      </c>
      <c r="F7" s="3">
        <f t="shared" si="5"/>
        <v>373.15015609643291</v>
      </c>
      <c r="G7" s="3">
        <f>+'[3]Colector Circunvalacion Sur'!$AB$37</f>
        <v>63.247678182109198</v>
      </c>
      <c r="H7" s="3">
        <f t="shared" si="1"/>
        <v>87.841215446809528</v>
      </c>
      <c r="L7" s="56">
        <f t="shared" si="2"/>
        <v>2023</v>
      </c>
      <c r="M7" s="9">
        <f>+'[3]Colector Circunvalacion Sur'!$Q$17</f>
        <v>7974.258360993942</v>
      </c>
      <c r="N7" s="34">
        <f>+'[3]Colector Circunvalacion Sur'!$P$17</f>
        <v>19.451123326776191</v>
      </c>
      <c r="O7" s="44">
        <f t="shared" ref="O7:O21" si="6">1+(14/(4+(SQRT(M7/1000))))</f>
        <v>3.0516208508658815</v>
      </c>
      <c r="P7" s="34">
        <f t="shared" ref="P7:P21" si="7">+O7*N7</f>
        <v>59.357453516753957</v>
      </c>
      <c r="Q7" s="34">
        <f t="shared" ref="Q7:Q21" si="8">+N7*$Q$4</f>
        <v>3.8902246653552384</v>
      </c>
      <c r="R7" s="34">
        <f t="shared" ref="R7:R21" si="9">+Q7+P7</f>
        <v>63.247678182109198</v>
      </c>
      <c r="S7" s="34">
        <f>+S6</f>
        <v>0</v>
      </c>
      <c r="T7" s="66">
        <f t="shared" ref="T7:T21" si="10">+S7+R7</f>
        <v>63.247678182109198</v>
      </c>
      <c r="V7" s="46">
        <f t="shared" ref="V7:V21" si="11">+G7</f>
        <v>63.247678182109198</v>
      </c>
      <c r="W7" s="46">
        <f t="shared" ref="W7:W21" si="12">+T7-V7</f>
        <v>0</v>
      </c>
    </row>
    <row r="8" spans="1:23" x14ac:dyDescent="0.3">
      <c r="B8" s="2">
        <f t="shared" si="3"/>
        <v>2024</v>
      </c>
      <c r="C8" s="3">
        <f t="shared" si="4"/>
        <v>151.08889362891873</v>
      </c>
      <c r="D8" s="3">
        <f t="shared" si="0"/>
        <v>151.08889362891873</v>
      </c>
      <c r="E8" s="3">
        <f t="shared" si="5"/>
        <v>1.3815779853942258</v>
      </c>
      <c r="F8" s="3">
        <f t="shared" si="5"/>
        <v>373.15015609643291</v>
      </c>
      <c r="G8" s="3">
        <f>+'[4]Colector Circunvalacion Sur'!$AB$37</f>
        <v>64.642503835226918</v>
      </c>
      <c r="H8" s="3">
        <f t="shared" si="1"/>
        <v>86.446389793691807</v>
      </c>
      <c r="L8" s="56">
        <f t="shared" si="2"/>
        <v>2024</v>
      </c>
      <c r="M8" s="9">
        <f>+'[4]Colector Circunvalacion Sur'!$Q$17</f>
        <v>8038.6040870680299</v>
      </c>
      <c r="N8" s="34">
        <f>+'[4]Colector Circunvalacion Sur'!$P$17</f>
        <v>19.900974122767245</v>
      </c>
      <c r="O8" s="44">
        <f t="shared" si="6"/>
        <v>3.0482080242129541</v>
      </c>
      <c r="P8" s="34">
        <f t="shared" si="7"/>
        <v>60.662309010673475</v>
      </c>
      <c r="Q8" s="34">
        <f t="shared" si="8"/>
        <v>3.9801948245534491</v>
      </c>
      <c r="R8" s="34">
        <f t="shared" si="9"/>
        <v>64.642503835226918</v>
      </c>
      <c r="S8" s="34">
        <f t="shared" ref="S8:S21" si="13">+S7</f>
        <v>0</v>
      </c>
      <c r="T8" s="66">
        <f t="shared" si="10"/>
        <v>64.642503835226918</v>
      </c>
      <c r="V8" s="46">
        <f t="shared" si="11"/>
        <v>64.642503835226918</v>
      </c>
      <c r="W8" s="46">
        <f t="shared" si="12"/>
        <v>0</v>
      </c>
    </row>
    <row r="9" spans="1:23" x14ac:dyDescent="0.3">
      <c r="B9" s="2">
        <f t="shared" si="3"/>
        <v>2025</v>
      </c>
      <c r="C9" s="3">
        <f t="shared" si="4"/>
        <v>151.08889362891873</v>
      </c>
      <c r="D9" s="3">
        <f t="shared" si="0"/>
        <v>151.08889362891873</v>
      </c>
      <c r="E9" s="3">
        <f t="shared" si="5"/>
        <v>1.3815779853942258</v>
      </c>
      <c r="F9" s="3">
        <f t="shared" si="5"/>
        <v>373.15015609643291</v>
      </c>
      <c r="G9" s="3">
        <f>+'[5]Colector Circunvalacion Sur'!$AB$37</f>
        <v>66.041070075986539</v>
      </c>
      <c r="H9" s="3">
        <f t="shared" si="1"/>
        <v>85.047823552932186</v>
      </c>
      <c r="L9" s="56">
        <f t="shared" si="2"/>
        <v>2025</v>
      </c>
      <c r="M9" s="9">
        <f>+'[5]Colector Circunvalacion Sur'!$Q$17</f>
        <v>8103.1850808791341</v>
      </c>
      <c r="N9" s="34">
        <f>+'[5]Colector Circunvalacion Sur'!$P$17</f>
        <v>20.352845239929287</v>
      </c>
      <c r="O9" s="44">
        <f t="shared" si="6"/>
        <v>3.0448077552529944</v>
      </c>
      <c r="P9" s="34">
        <f t="shared" si="7"/>
        <v>61.970501028000683</v>
      </c>
      <c r="Q9" s="34">
        <f t="shared" si="8"/>
        <v>4.0705690479858578</v>
      </c>
      <c r="R9" s="34">
        <f t="shared" si="9"/>
        <v>66.041070075986539</v>
      </c>
      <c r="S9" s="34">
        <f t="shared" si="13"/>
        <v>0</v>
      </c>
      <c r="T9" s="66">
        <f t="shared" si="10"/>
        <v>66.041070075986539</v>
      </c>
      <c r="V9" s="46">
        <f t="shared" si="11"/>
        <v>66.041070075986539</v>
      </c>
      <c r="W9" s="46">
        <f t="shared" si="12"/>
        <v>0</v>
      </c>
    </row>
    <row r="10" spans="1:23" x14ac:dyDescent="0.3">
      <c r="B10" s="2">
        <f t="shared" si="3"/>
        <v>2026</v>
      </c>
      <c r="C10" s="3">
        <f t="shared" si="4"/>
        <v>151.08889362891873</v>
      </c>
      <c r="D10" s="3">
        <f t="shared" si="0"/>
        <v>151.08889362891873</v>
      </c>
      <c r="E10" s="3">
        <f t="shared" si="5"/>
        <v>1.3815779853942258</v>
      </c>
      <c r="F10" s="3">
        <f t="shared" si="5"/>
        <v>373.15015609643291</v>
      </c>
      <c r="G10" s="3">
        <f>+'[6]Colector Circunvalacion Sur'!$AB$37</f>
        <v>67.453848302910714</v>
      </c>
      <c r="H10" s="3">
        <f t="shared" si="1"/>
        <v>83.635045326008012</v>
      </c>
      <c r="L10" s="56">
        <f t="shared" si="2"/>
        <v>2026</v>
      </c>
      <c r="M10" s="9">
        <f>+'[6]Colector Circunvalacion Sur'!$Q$17</f>
        <v>8168.1189762957629</v>
      </c>
      <c r="N10" s="34">
        <f>+'[6]Colector Circunvalacion Sur'!$P$17</f>
        <v>20.810008144122399</v>
      </c>
      <c r="O10" s="44">
        <f t="shared" si="6"/>
        <v>3.0414138349082025</v>
      </c>
      <c r="P10" s="34">
        <f t="shared" si="7"/>
        <v>63.29184667408623</v>
      </c>
      <c r="Q10" s="34">
        <f t="shared" si="8"/>
        <v>4.1620016288244797</v>
      </c>
      <c r="R10" s="34">
        <f t="shared" si="9"/>
        <v>67.453848302910714</v>
      </c>
      <c r="S10" s="34">
        <f t="shared" si="13"/>
        <v>0</v>
      </c>
      <c r="T10" s="66">
        <f t="shared" si="10"/>
        <v>67.453848302910714</v>
      </c>
      <c r="V10" s="46">
        <f t="shared" si="11"/>
        <v>67.453848302910714</v>
      </c>
      <c r="W10" s="46">
        <f t="shared" si="12"/>
        <v>0</v>
      </c>
    </row>
    <row r="11" spans="1:23" x14ac:dyDescent="0.3">
      <c r="B11" s="2">
        <f t="shared" si="3"/>
        <v>2027</v>
      </c>
      <c r="C11" s="3">
        <f t="shared" si="4"/>
        <v>151.08889362891873</v>
      </c>
      <c r="D11" s="3">
        <f t="shared" si="0"/>
        <v>151.08889362891873</v>
      </c>
      <c r="E11" s="3">
        <f t="shared" si="5"/>
        <v>1.3815779853942258</v>
      </c>
      <c r="F11" s="3">
        <f t="shared" si="5"/>
        <v>373.15015609643291</v>
      </c>
      <c r="G11" s="3">
        <f>+'[7]Colector Circunvalacion Sur'!$AB$37</f>
        <v>68.878198186521743</v>
      </c>
      <c r="H11" s="3">
        <f t="shared" si="1"/>
        <v>82.210695442396982</v>
      </c>
      <c r="L11" s="56">
        <f t="shared" si="2"/>
        <v>2027</v>
      </c>
      <c r="M11" s="9">
        <f>+'[7]Colector Circunvalacion Sur'!$Q$17</f>
        <v>8233.3469563836625</v>
      </c>
      <c r="N11" s="34">
        <f>+'[7]Colector Circunvalacion Sur'!$P$17</f>
        <v>21.271641060104599</v>
      </c>
      <c r="O11" s="44">
        <f t="shared" si="6"/>
        <v>3.0380293552294004</v>
      </c>
      <c r="P11" s="34">
        <f t="shared" si="7"/>
        <v>64.62386997450082</v>
      </c>
      <c r="Q11" s="34">
        <f t="shared" si="8"/>
        <v>4.25432821202092</v>
      </c>
      <c r="R11" s="34">
        <f t="shared" si="9"/>
        <v>68.878198186521743</v>
      </c>
      <c r="S11" s="34">
        <f t="shared" si="13"/>
        <v>0</v>
      </c>
      <c r="T11" s="66">
        <f t="shared" si="10"/>
        <v>68.878198186521743</v>
      </c>
      <c r="V11" s="46">
        <f t="shared" si="11"/>
        <v>68.878198186521743</v>
      </c>
      <c r="W11" s="46">
        <f t="shared" si="12"/>
        <v>0</v>
      </c>
    </row>
    <row r="12" spans="1:23" x14ac:dyDescent="0.3">
      <c r="B12" s="2">
        <f t="shared" si="3"/>
        <v>2028</v>
      </c>
      <c r="C12" s="3">
        <f t="shared" si="4"/>
        <v>151.08889362891873</v>
      </c>
      <c r="D12" s="3">
        <f t="shared" si="0"/>
        <v>151.08889362891873</v>
      </c>
      <c r="E12" s="3">
        <f t="shared" si="5"/>
        <v>1.3815779853942258</v>
      </c>
      <c r="F12" s="3">
        <f t="shared" si="5"/>
        <v>373.15015609643291</v>
      </c>
      <c r="G12" s="3">
        <f>+'[8]Colector Circunvalacion Sur'!$AB$37</f>
        <v>70.319564972843878</v>
      </c>
      <c r="H12" s="3">
        <f t="shared" si="1"/>
        <v>80.769328656074848</v>
      </c>
      <c r="L12" s="56">
        <f t="shared" si="2"/>
        <v>2028</v>
      </c>
      <c r="M12" s="9">
        <f>+'[8]Colector Circunvalacion Sur'!$Q$17</f>
        <v>8298.9278380770884</v>
      </c>
      <c r="N12" s="34">
        <f>+'[8]Colector Circunvalacion Sur'!$P$17</f>
        <v>21.739457784957516</v>
      </c>
      <c r="O12" s="44">
        <f t="shared" si="6"/>
        <v>3.0346512810223385</v>
      </c>
      <c r="P12" s="34">
        <f t="shared" si="7"/>
        <v>65.971673415852379</v>
      </c>
      <c r="Q12" s="34">
        <f t="shared" si="8"/>
        <v>4.3478915569915033</v>
      </c>
      <c r="R12" s="34">
        <f t="shared" si="9"/>
        <v>70.319564972843878</v>
      </c>
      <c r="S12" s="34">
        <f t="shared" si="13"/>
        <v>0</v>
      </c>
      <c r="T12" s="66">
        <f t="shared" si="10"/>
        <v>70.319564972843878</v>
      </c>
      <c r="V12" s="46">
        <f t="shared" si="11"/>
        <v>70.319564972843878</v>
      </c>
      <c r="W12" s="46">
        <f t="shared" si="12"/>
        <v>0</v>
      </c>
    </row>
    <row r="13" spans="1:23" x14ac:dyDescent="0.3">
      <c r="B13" s="2">
        <f t="shared" si="3"/>
        <v>2029</v>
      </c>
      <c r="C13" s="3">
        <f t="shared" si="4"/>
        <v>151.08889362891873</v>
      </c>
      <c r="D13" s="3">
        <f t="shared" si="0"/>
        <v>151.08889362891873</v>
      </c>
      <c r="E13" s="3">
        <f t="shared" si="5"/>
        <v>1.3815779853942258</v>
      </c>
      <c r="F13" s="3">
        <f t="shared" si="5"/>
        <v>373.15015609643291</v>
      </c>
      <c r="G13" s="3">
        <f>+'[9]Colector Circunvalacion Sur'!$AB$37</f>
        <v>71.764139484493043</v>
      </c>
      <c r="H13" s="3">
        <f t="shared" si="1"/>
        <v>79.324754144425683</v>
      </c>
      <c r="L13" s="56">
        <f t="shared" si="2"/>
        <v>2029</v>
      </c>
      <c r="M13" s="9">
        <f>+'[9]Colector Circunvalacion Sur'!$Q$17</f>
        <v>8364.7439875075306</v>
      </c>
      <c r="N13" s="34">
        <f>+'[9]Colector Circunvalacion Sur'!$P$17</f>
        <v>22.20915980739327</v>
      </c>
      <c r="O13" s="44">
        <f t="shared" si="6"/>
        <v>3.0312856545164433</v>
      </c>
      <c r="P13" s="34">
        <f t="shared" si="7"/>
        <v>67.322307523014388</v>
      </c>
      <c r="Q13" s="34">
        <f t="shared" si="8"/>
        <v>4.4418319614786546</v>
      </c>
      <c r="R13" s="34">
        <f t="shared" si="9"/>
        <v>71.764139484493043</v>
      </c>
      <c r="S13" s="34">
        <f t="shared" si="13"/>
        <v>0</v>
      </c>
      <c r="T13" s="66">
        <f t="shared" si="10"/>
        <v>71.764139484493043</v>
      </c>
      <c r="V13" s="46">
        <f t="shared" si="11"/>
        <v>71.764139484493043</v>
      </c>
      <c r="W13" s="46">
        <f t="shared" si="12"/>
        <v>0</v>
      </c>
    </row>
    <row r="14" spans="1:23" x14ac:dyDescent="0.3">
      <c r="B14" s="2">
        <f t="shared" si="3"/>
        <v>2030</v>
      </c>
      <c r="C14" s="3">
        <f t="shared" si="4"/>
        <v>151.08889362891873</v>
      </c>
      <c r="D14" s="3">
        <f t="shared" si="0"/>
        <v>151.08889362891873</v>
      </c>
      <c r="E14" s="3">
        <f t="shared" si="5"/>
        <v>1.3815779853942258</v>
      </c>
      <c r="F14" s="3">
        <f t="shared" si="5"/>
        <v>373.15015609643291</v>
      </c>
      <c r="G14" s="3">
        <f>+'[10]Colector Circunvalacion Sur'!$AB$37</f>
        <v>73.222957677397901</v>
      </c>
      <c r="H14" s="3">
        <f t="shared" si="1"/>
        <v>77.865935951520825</v>
      </c>
      <c r="L14" s="56">
        <f t="shared" si="2"/>
        <v>2030</v>
      </c>
      <c r="M14" s="9">
        <f>+'[10]Colector Circunvalacion Sur'!$Q$17</f>
        <v>8430.9130385434983</v>
      </c>
      <c r="N14" s="34">
        <f>+'[10]Colector Circunvalacion Sur'!$P$17</f>
        <v>22.684208882046534</v>
      </c>
      <c r="O14" s="44">
        <f t="shared" si="6"/>
        <v>3.0279264424932344</v>
      </c>
      <c r="P14" s="34">
        <f t="shared" si="7"/>
        <v>68.686115900988597</v>
      </c>
      <c r="Q14" s="34">
        <f t="shared" si="8"/>
        <v>4.5368417764093065</v>
      </c>
      <c r="R14" s="34">
        <f t="shared" si="9"/>
        <v>73.222957677397901</v>
      </c>
      <c r="S14" s="34">
        <f t="shared" si="13"/>
        <v>0</v>
      </c>
      <c r="T14" s="66">
        <f t="shared" si="10"/>
        <v>73.222957677397901</v>
      </c>
      <c r="V14" s="46">
        <f t="shared" si="11"/>
        <v>73.222957677397901</v>
      </c>
      <c r="W14" s="46">
        <f t="shared" si="12"/>
        <v>0</v>
      </c>
    </row>
    <row r="15" spans="1:23" x14ac:dyDescent="0.3">
      <c r="B15" s="2">
        <f t="shared" si="3"/>
        <v>2031</v>
      </c>
      <c r="C15" s="3">
        <f t="shared" si="4"/>
        <v>151.08889362891873</v>
      </c>
      <c r="D15" s="3">
        <f t="shared" si="0"/>
        <v>151.08889362891873</v>
      </c>
      <c r="E15" s="3">
        <f t="shared" si="5"/>
        <v>1.3815779853942258</v>
      </c>
      <c r="F15" s="3">
        <f t="shared" si="5"/>
        <v>373.15015609643291</v>
      </c>
      <c r="G15" s="3">
        <f>+'[11]Colector Circunvalacion Sur'!$AB$37</f>
        <v>74.693147805806674</v>
      </c>
      <c r="H15" s="3">
        <f t="shared" si="1"/>
        <v>76.395745823112051</v>
      </c>
      <c r="L15" s="56">
        <f t="shared" si="2"/>
        <v>2031</v>
      </c>
      <c r="M15" s="9">
        <f>+'[11]Colector Circunvalacion Sur'!$Q$17</f>
        <v>8497.4349911849913</v>
      </c>
      <c r="N15" s="34">
        <f>+'[11]Colector Circunvalacion Sur'!$P$17</f>
        <v>23.163727968488878</v>
      </c>
      <c r="O15" s="44">
        <f t="shared" si="6"/>
        <v>3.024573691567118</v>
      </c>
      <c r="P15" s="34">
        <f t="shared" si="7"/>
        <v>70.060402212108897</v>
      </c>
      <c r="Q15" s="34">
        <f t="shared" si="8"/>
        <v>4.6327455936977762</v>
      </c>
      <c r="R15" s="34">
        <f t="shared" si="9"/>
        <v>74.693147805806674</v>
      </c>
      <c r="S15" s="34">
        <f t="shared" si="13"/>
        <v>0</v>
      </c>
      <c r="T15" s="66">
        <f t="shared" si="10"/>
        <v>74.693147805806674</v>
      </c>
      <c r="V15" s="46">
        <f t="shared" si="11"/>
        <v>74.693147805806674</v>
      </c>
      <c r="W15" s="46">
        <f t="shared" si="12"/>
        <v>0</v>
      </c>
    </row>
    <row r="16" spans="1:23" x14ac:dyDescent="0.3">
      <c r="B16" s="2">
        <f t="shared" si="3"/>
        <v>2032</v>
      </c>
      <c r="C16" s="3">
        <f t="shared" si="4"/>
        <v>151.08889362891873</v>
      </c>
      <c r="D16" s="3">
        <f t="shared" si="0"/>
        <v>151.08889362891873</v>
      </c>
      <c r="E16" s="3">
        <f t="shared" si="5"/>
        <v>1.3815779853942258</v>
      </c>
      <c r="F16" s="3">
        <f t="shared" si="5"/>
        <v>373.15015609643291</v>
      </c>
      <c r="G16" s="3">
        <f>+'[12]Colector Circunvalacion Sur'!$AB$37</f>
        <v>76.180452719863823</v>
      </c>
      <c r="H16" s="3">
        <f t="shared" si="1"/>
        <v>74.908440909054903</v>
      </c>
      <c r="L16" s="56">
        <f t="shared" si="2"/>
        <v>2032</v>
      </c>
      <c r="M16" s="9">
        <f>+'[12]Colector Circunvalacion Sur'!$Q$17</f>
        <v>8564.3098454320079</v>
      </c>
      <c r="N16" s="34">
        <f>+'[12]Colector Circunvalacion Sur'!$P$17</f>
        <v>23.649510622203657</v>
      </c>
      <c r="O16" s="44">
        <f t="shared" si="6"/>
        <v>3.0212274468098634</v>
      </c>
      <c r="P16" s="34">
        <f t="shared" si="7"/>
        <v>71.450550595423096</v>
      </c>
      <c r="Q16" s="34">
        <f t="shared" si="8"/>
        <v>4.7299021244407315</v>
      </c>
      <c r="R16" s="34">
        <f t="shared" si="9"/>
        <v>76.180452719863823</v>
      </c>
      <c r="S16" s="34">
        <f t="shared" si="13"/>
        <v>0</v>
      </c>
      <c r="T16" s="66">
        <f t="shared" si="10"/>
        <v>76.180452719863823</v>
      </c>
      <c r="V16" s="46">
        <f t="shared" si="11"/>
        <v>76.180452719863823</v>
      </c>
      <c r="W16" s="46">
        <f t="shared" si="12"/>
        <v>0</v>
      </c>
    </row>
    <row r="17" spans="2:23" x14ac:dyDescent="0.3">
      <c r="B17" s="2">
        <f t="shared" si="3"/>
        <v>2033</v>
      </c>
      <c r="C17" s="3">
        <f t="shared" si="4"/>
        <v>151.08889362891873</v>
      </c>
      <c r="D17" s="3">
        <f t="shared" si="0"/>
        <v>151.08889362891873</v>
      </c>
      <c r="E17" s="3">
        <f t="shared" si="5"/>
        <v>1.3815779853942258</v>
      </c>
      <c r="F17" s="3">
        <f t="shared" si="5"/>
        <v>373.15015609643291</v>
      </c>
      <c r="G17" s="3">
        <f>+'[13]Colector Circunvalacion Sur'!$AB$37</f>
        <v>77.670226532375224</v>
      </c>
      <c r="H17" s="3">
        <f t="shared" si="1"/>
        <v>73.418667096543501</v>
      </c>
      <c r="L17" s="56">
        <f t="shared" si="2"/>
        <v>2033</v>
      </c>
      <c r="M17" s="9">
        <f>+'[13]Colector Circunvalacion Sur'!$Q$17</f>
        <v>8631.5964182188054</v>
      </c>
      <c r="N17" s="34">
        <f>+'[13]Colector Circunvalacion Sur'!$P$17</f>
        <v>24.137043549913116</v>
      </c>
      <c r="O17" s="44">
        <f t="shared" si="6"/>
        <v>3.0178848404428886</v>
      </c>
      <c r="P17" s="34">
        <f t="shared" si="7"/>
        <v>72.842817822392604</v>
      </c>
      <c r="Q17" s="34">
        <f t="shared" si="8"/>
        <v>4.8274087099826239</v>
      </c>
      <c r="R17" s="34">
        <f t="shared" si="9"/>
        <v>77.670226532375224</v>
      </c>
      <c r="S17" s="34">
        <f t="shared" si="13"/>
        <v>0</v>
      </c>
      <c r="T17" s="66">
        <f t="shared" si="10"/>
        <v>77.670226532375224</v>
      </c>
      <c r="V17" s="46">
        <f t="shared" si="11"/>
        <v>77.670226532375224</v>
      </c>
      <c r="W17" s="46">
        <f t="shared" si="12"/>
        <v>0</v>
      </c>
    </row>
    <row r="18" spans="2:23" x14ac:dyDescent="0.3">
      <c r="B18" s="2">
        <f t="shared" si="3"/>
        <v>2034</v>
      </c>
      <c r="C18" s="3">
        <f t="shared" si="4"/>
        <v>151.08889362891873</v>
      </c>
      <c r="D18" s="3">
        <f t="shared" si="0"/>
        <v>151.08889362891873</v>
      </c>
      <c r="E18" s="3">
        <f t="shared" si="5"/>
        <v>1.3815779853942258</v>
      </c>
      <c r="F18" s="3">
        <f t="shared" si="5"/>
        <v>373.15015609643291</v>
      </c>
      <c r="G18" s="3">
        <f>+'[14]Colector Circunvalacion Sur'!$AB$37</f>
        <v>79.174412829691178</v>
      </c>
      <c r="H18" s="3">
        <f t="shared" si="1"/>
        <v>71.914480799227547</v>
      </c>
      <c r="L18" s="56">
        <f t="shared" si="2"/>
        <v>2034</v>
      </c>
      <c r="M18" s="9">
        <f>+'[14]Colector Circunvalacion Sur'!$Q$17</f>
        <v>8699.1182587426192</v>
      </c>
      <c r="N18" s="34">
        <f>+'[14]Colector Circunvalacion Sur'!$P$17</f>
        <v>24.629978795026524</v>
      </c>
      <c r="O18" s="44">
        <f t="shared" si="6"/>
        <v>3.0145546485683004</v>
      </c>
      <c r="P18" s="34">
        <f t="shared" si="7"/>
        <v>74.248417070685875</v>
      </c>
      <c r="Q18" s="34">
        <f t="shared" si="8"/>
        <v>4.9259957590053052</v>
      </c>
      <c r="R18" s="34">
        <f t="shared" si="9"/>
        <v>79.174412829691178</v>
      </c>
      <c r="S18" s="34">
        <f t="shared" si="13"/>
        <v>0</v>
      </c>
      <c r="T18" s="66">
        <f t="shared" si="10"/>
        <v>79.174412829691178</v>
      </c>
      <c r="V18" s="46">
        <f t="shared" si="11"/>
        <v>79.174412829691178</v>
      </c>
      <c r="W18" s="46">
        <f t="shared" si="12"/>
        <v>0</v>
      </c>
    </row>
    <row r="19" spans="2:23" x14ac:dyDescent="0.3">
      <c r="B19" s="2">
        <f t="shared" si="3"/>
        <v>2035</v>
      </c>
      <c r="C19" s="3">
        <f t="shared" si="4"/>
        <v>151.08889362891873</v>
      </c>
      <c r="D19" s="3">
        <f t="shared" si="0"/>
        <v>151.08889362891873</v>
      </c>
      <c r="E19" s="3">
        <f t="shared" si="5"/>
        <v>1.3815779853942258</v>
      </c>
      <c r="F19" s="3">
        <f t="shared" si="5"/>
        <v>373.15015609643291</v>
      </c>
      <c r="G19" s="3">
        <f>+'[15]Colector Circunvalacion Sur'!$AB$37</f>
        <v>80.6896915935273</v>
      </c>
      <c r="H19" s="3">
        <f t="shared" si="1"/>
        <v>70.399202035391426</v>
      </c>
      <c r="L19" s="56">
        <f t="shared" si="2"/>
        <v>2035</v>
      </c>
      <c r="M19" s="9">
        <f>+'[15]Colector Circunvalacion Sur'!$Q$17</f>
        <v>8767.1106347404657</v>
      </c>
      <c r="N19" s="34">
        <f>+'[15]Colector Circunvalacion Sur'!$P$17</f>
        <v>25.127384051929013</v>
      </c>
      <c r="O19" s="44">
        <f t="shared" si="6"/>
        <v>3.0112253080850575</v>
      </c>
      <c r="P19" s="34">
        <f t="shared" si="7"/>
        <v>75.664214783141503</v>
      </c>
      <c r="Q19" s="34">
        <f t="shared" si="8"/>
        <v>5.0254768103858032</v>
      </c>
      <c r="R19" s="34">
        <f t="shared" si="9"/>
        <v>80.6896915935273</v>
      </c>
      <c r="S19" s="34">
        <f t="shared" si="13"/>
        <v>0</v>
      </c>
      <c r="T19" s="66">
        <f t="shared" si="10"/>
        <v>80.6896915935273</v>
      </c>
      <c r="V19" s="46">
        <f t="shared" si="11"/>
        <v>80.6896915935273</v>
      </c>
      <c r="W19" s="46">
        <f t="shared" si="12"/>
        <v>0</v>
      </c>
    </row>
    <row r="20" spans="2:23" x14ac:dyDescent="0.3">
      <c r="B20" s="2">
        <f t="shared" si="3"/>
        <v>2036</v>
      </c>
      <c r="C20" s="3">
        <f t="shared" si="4"/>
        <v>151.08889362891873</v>
      </c>
      <c r="D20" s="3">
        <f t="shared" si="0"/>
        <v>151.08889362891873</v>
      </c>
      <c r="E20" s="3">
        <f t="shared" si="5"/>
        <v>1.3815779853942258</v>
      </c>
      <c r="F20" s="3">
        <f t="shared" si="5"/>
        <v>373.15015609643291</v>
      </c>
      <c r="G20" s="3">
        <f>+'[16]Colector Circunvalacion Sur'!$AB$37</f>
        <v>82.22225210615251</v>
      </c>
      <c r="H20" s="3">
        <f t="shared" si="1"/>
        <v>68.866641522766216</v>
      </c>
      <c r="L20" s="56">
        <f t="shared" si="2"/>
        <v>2036</v>
      </c>
      <c r="M20" s="9">
        <f>+'[16]Colector Circunvalacion Sur'!$Q$17</f>
        <v>8835.3970954095839</v>
      </c>
      <c r="N20" s="34">
        <f>+'[16]Colector Circunvalacion Sur'!$P$17</f>
        <v>25.631132634505661</v>
      </c>
      <c r="O20" s="44">
        <f t="shared" si="6"/>
        <v>3.0079055295223904</v>
      </c>
      <c r="P20" s="34">
        <f t="shared" si="7"/>
        <v>77.096025579251375</v>
      </c>
      <c r="Q20" s="34">
        <f t="shared" si="8"/>
        <v>5.1262265269011325</v>
      </c>
      <c r="R20" s="34">
        <f t="shared" si="9"/>
        <v>82.22225210615251</v>
      </c>
      <c r="S20" s="34">
        <f t="shared" si="13"/>
        <v>0</v>
      </c>
      <c r="T20" s="66">
        <f t="shared" si="10"/>
        <v>82.22225210615251</v>
      </c>
      <c r="V20" s="46">
        <f t="shared" si="11"/>
        <v>82.22225210615251</v>
      </c>
      <c r="W20" s="46">
        <f t="shared" si="12"/>
        <v>0</v>
      </c>
    </row>
    <row r="21" spans="2:23" ht="13.8" thickBot="1" x14ac:dyDescent="0.35">
      <c r="B21" s="2">
        <f t="shared" si="3"/>
        <v>2037</v>
      </c>
      <c r="C21" s="3">
        <f t="shared" si="4"/>
        <v>151.08889362891873</v>
      </c>
      <c r="D21" s="3">
        <f t="shared" si="0"/>
        <v>151.08889362891873</v>
      </c>
      <c r="E21" s="3">
        <f t="shared" si="5"/>
        <v>1.3815779853942258</v>
      </c>
      <c r="F21" s="3">
        <f t="shared" si="5"/>
        <v>373.15015609643291</v>
      </c>
      <c r="G21" s="3">
        <f>+'[17]Colector Circunvalacion Sur'!$AB$37</f>
        <v>83.756745582871631</v>
      </c>
      <c r="H21" s="3">
        <f t="shared" si="1"/>
        <v>67.332148046047095</v>
      </c>
      <c r="I21" s="13">
        <f>+G21/G6-1</f>
        <v>0.3646140811054841</v>
      </c>
      <c r="L21" s="58">
        <f t="shared" si="2"/>
        <v>2037</v>
      </c>
      <c r="M21" s="59">
        <f>+'[17]Colector Circunvalacion Sur'!$Q$17</f>
        <v>8904.095274618483</v>
      </c>
      <c r="N21" s="60">
        <f>+'[17]Colector Circunvalacion Sur'!$P$17</f>
        <v>26.13649646748884</v>
      </c>
      <c r="O21" s="61">
        <f t="shared" si="6"/>
        <v>3.0045896314778289</v>
      </c>
      <c r="P21" s="60">
        <f t="shared" si="7"/>
        <v>78.529446289373865</v>
      </c>
      <c r="Q21" s="60">
        <f t="shared" si="8"/>
        <v>5.2272992934977687</v>
      </c>
      <c r="R21" s="60">
        <f t="shared" si="9"/>
        <v>83.756745582871631</v>
      </c>
      <c r="S21" s="60">
        <f t="shared" si="13"/>
        <v>0</v>
      </c>
      <c r="T21" s="67">
        <f t="shared" si="10"/>
        <v>83.756745582871631</v>
      </c>
      <c r="V21" s="46">
        <f t="shared" si="11"/>
        <v>83.756745582871631</v>
      </c>
      <c r="W21" s="46">
        <f t="shared" si="12"/>
        <v>0</v>
      </c>
    </row>
    <row r="22" spans="2:23" x14ac:dyDescent="0.3">
      <c r="L22" s="9"/>
    </row>
    <row r="23" spans="2:2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47</vt:i4>
      </vt:variant>
      <vt:variant>
        <vt:lpstr>Rangos con nombre</vt:lpstr>
      </vt:variant>
      <vt:variant>
        <vt:i4>1</vt:i4>
      </vt:variant>
    </vt:vector>
  </HeadingPairs>
  <TitlesOfParts>
    <vt:vector size="48" baseType="lpstr">
      <vt:lpstr>Resumen</vt:lpstr>
      <vt:lpstr>Colec Krahmer II</vt:lpstr>
      <vt:lpstr>Colec Krahmer I</vt:lpstr>
      <vt:lpstr>Colec San Luis III</vt:lpstr>
      <vt:lpstr>Colec San Luis II</vt:lpstr>
      <vt:lpstr>Colec San Luis I</vt:lpstr>
      <vt:lpstr>Colec Ruben Dario</vt:lpstr>
      <vt:lpstr>Colec San Pablo</vt:lpstr>
      <vt:lpstr>Colec Circunv Sur</vt:lpstr>
      <vt:lpstr>Colec San Miguel</vt:lpstr>
      <vt:lpstr>Colec Francia II</vt:lpstr>
      <vt:lpstr>Colec Francia I</vt:lpstr>
      <vt:lpstr>Colec San Fco</vt:lpstr>
      <vt:lpstr>Colec CUT</vt:lpstr>
      <vt:lpstr>Colec Miraflores</vt:lpstr>
      <vt:lpstr>Colec Gral Lagos V</vt:lpstr>
      <vt:lpstr>Colec Gral Lagos IV</vt:lpstr>
      <vt:lpstr>Colec Gral Lagos III</vt:lpstr>
      <vt:lpstr>Colec Gral Lagos II</vt:lpstr>
      <vt:lpstr>Colec Gral Lagos I</vt:lpstr>
      <vt:lpstr>Colec Janequeo IV</vt:lpstr>
      <vt:lpstr>Colec Janequeo III</vt:lpstr>
      <vt:lpstr>Colec Janequeo II</vt:lpstr>
      <vt:lpstr>Colec Janequeo I</vt:lpstr>
      <vt:lpstr>Colec Los Pelues II</vt:lpstr>
      <vt:lpstr>Colec Los Pelues I</vt:lpstr>
      <vt:lpstr>Colec Los Avellanos</vt:lpstr>
      <vt:lpstr>Colec Domeyko</vt:lpstr>
      <vt:lpstr>Colec Escobar Phill II</vt:lpstr>
      <vt:lpstr>Colec Escobar Phill I</vt:lpstr>
      <vt:lpstr>Colec Baquedano</vt:lpstr>
      <vt:lpstr>Colec Sta Maria</vt:lpstr>
      <vt:lpstr>Colec Montt Baqued</vt:lpstr>
      <vt:lpstr>Colec P.A. Cerda IV</vt:lpstr>
      <vt:lpstr>Colec P.A. Cerda III</vt:lpstr>
      <vt:lpstr>Colec P.A. Cerda II</vt:lpstr>
      <vt:lpstr>Colec España</vt:lpstr>
      <vt:lpstr>Colec P.A. Cerda I</vt:lpstr>
      <vt:lpstr>Colec P.A. Cerda Norte</vt:lpstr>
      <vt:lpstr>Colec El Romance</vt:lpstr>
      <vt:lpstr>Colec Bombero Solis</vt:lpstr>
      <vt:lpstr>Colec Bueras Simpson</vt:lpstr>
      <vt:lpstr>Colec Simpson</vt:lpstr>
      <vt:lpstr>Colec Ecuador I-II</vt:lpstr>
      <vt:lpstr>Colec Bosque Sur</vt:lpstr>
      <vt:lpstr>Colec Balmaceda</vt:lpstr>
      <vt:lpstr>Colec Guacamayo</vt:lpstr>
      <vt:lpstr>'Colec Francia II'!Área_de_impresión</vt:lpstr>
    </vt:vector>
  </TitlesOfParts>
  <Company>DyH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Rojas A</dc:creator>
  <cp:lastModifiedBy>Victoria Rojas A.</cp:lastModifiedBy>
  <cp:lastPrinted>2014-10-02T15:31:45Z</cp:lastPrinted>
  <dcterms:created xsi:type="dcterms:W3CDTF">2009-10-20T21:01:29Z</dcterms:created>
  <dcterms:modified xsi:type="dcterms:W3CDTF">2024-10-11T03:03:08Z</dcterms:modified>
</cp:coreProperties>
</file>